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 Affairs\NHFG_website\about\documents\comm\2023\"/>
    </mc:Choice>
  </mc:AlternateContent>
  <workbookProtection workbookAlgorithmName="SHA-512" workbookHashValue="MBeAn2k820FvQUGtmMlgiXiW56Hlfrr/dxmENOdVIKMkskiSCjx0eO7kAyLDajLPsAJRPr41O59irWgTMHL3hQ==" workbookSaltValue="KcFTW/5/jZH2zZEEhmu5Fw==" workbookSpinCount="100000" lockStructure="1"/>
  <bookViews>
    <workbookView xWindow="0" yWindow="0" windowWidth="28800" windowHeight="12300" tabRatio="902"/>
  </bookViews>
  <sheets>
    <sheet name="Financial " sheetId="7" r:id="rId1"/>
    <sheet name="Sheet1" sheetId="9" r:id="rId2"/>
    <sheet name="budgettoactual" sheetId="1" r:id="rId3"/>
    <sheet name="Comparison YTD" sheetId="6" r:id="rId4"/>
  </sheets>
  <calcPr calcId="162913"/>
</workbook>
</file>

<file path=xl/calcChain.xml><?xml version="1.0" encoding="utf-8"?>
<calcChain xmlns="http://schemas.openxmlformats.org/spreadsheetml/2006/main">
  <c r="D43" i="6" l="1"/>
  <c r="E43" i="6" s="1"/>
  <c r="C43" i="6"/>
  <c r="E22" i="6"/>
  <c r="D19" i="6"/>
  <c r="C19" i="6"/>
  <c r="F22" i="1"/>
  <c r="F23" i="1"/>
  <c r="F21" i="1"/>
  <c r="F19" i="1"/>
  <c r="F18" i="1"/>
  <c r="F17" i="1"/>
  <c r="F16" i="1"/>
  <c r="F15" i="1"/>
  <c r="F14" i="1"/>
  <c r="F13" i="1"/>
  <c r="A42" i="9"/>
  <c r="D42" i="6" l="1"/>
  <c r="E42" i="6" s="1"/>
  <c r="C42" i="6"/>
  <c r="D18" i="6"/>
  <c r="C18" i="6"/>
  <c r="D41" i="6" l="1"/>
  <c r="E41" i="6"/>
  <c r="C41" i="6"/>
  <c r="D17" i="6"/>
  <c r="C17" i="6"/>
  <c r="D40" i="6" l="1"/>
  <c r="E40" i="6"/>
  <c r="C40" i="6"/>
  <c r="D16" i="6"/>
  <c r="C16" i="6"/>
  <c r="D39" i="6" l="1"/>
  <c r="E39" i="6"/>
  <c r="C39" i="6"/>
  <c r="D15" i="6"/>
  <c r="C15" i="6"/>
  <c r="C38" i="6" l="1"/>
  <c r="D38" i="6"/>
  <c r="E38" i="6" s="1"/>
  <c r="D14" i="6"/>
  <c r="C14" i="6"/>
  <c r="D37" i="6" l="1"/>
  <c r="E37" i="6"/>
  <c r="C37" i="6"/>
  <c r="D13" i="6"/>
  <c r="C13" i="6"/>
  <c r="C9" i="6" l="1"/>
  <c r="D36" i="6"/>
  <c r="E36" i="6"/>
  <c r="C36" i="6"/>
  <c r="D12" i="6"/>
  <c r="C12" i="6"/>
  <c r="D35" i="6" l="1"/>
  <c r="E35" i="6" s="1"/>
  <c r="C35" i="6"/>
  <c r="D11" i="6"/>
  <c r="C11" i="6"/>
  <c r="E34" i="6" l="1"/>
  <c r="D34" i="6"/>
  <c r="C34" i="6"/>
  <c r="D10" i="6" l="1"/>
  <c r="C10" i="6"/>
  <c r="D33" i="6" l="1"/>
  <c r="C33" i="6"/>
  <c r="B44" i="6" l="1"/>
  <c r="B43" i="6" l="1"/>
  <c r="B42" i="6" l="1"/>
  <c r="B41" i="6" l="1"/>
  <c r="B40" i="6" l="1"/>
  <c r="B39" i="6" l="1"/>
  <c r="B38" i="6" l="1"/>
  <c r="B37" i="6" l="1"/>
  <c r="B36" i="6" l="1"/>
  <c r="B35" i="6" l="1"/>
  <c r="B34" i="6" l="1"/>
  <c r="B33" i="6" l="1"/>
  <c r="E24" i="7" l="1"/>
  <c r="E26" i="7" s="1"/>
  <c r="H22" i="1" l="1"/>
  <c r="H21" i="1"/>
  <c r="H20" i="1"/>
  <c r="H19" i="1"/>
  <c r="H15" i="1"/>
  <c r="H14" i="1"/>
  <c r="H18" i="1"/>
  <c r="H13" i="1"/>
  <c r="B45" i="1"/>
  <c r="D45" i="1"/>
  <c r="D9" i="6"/>
  <c r="E33" i="6"/>
  <c r="F40" i="1"/>
  <c r="H40" i="1" s="1"/>
  <c r="G20" i="7"/>
  <c r="B22" i="6"/>
  <c r="C22" i="6"/>
  <c r="B46" i="6"/>
  <c r="C46" i="6"/>
  <c r="H16" i="1"/>
  <c r="H23" i="1"/>
  <c r="B24" i="1"/>
  <c r="D24" i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1" i="1"/>
  <c r="H41" i="1" s="1"/>
  <c r="F42" i="1"/>
  <c r="H42" i="1" s="1"/>
  <c r="F43" i="1"/>
  <c r="H43" i="1" s="1"/>
  <c r="F44" i="1"/>
  <c r="H44" i="1" s="1"/>
  <c r="E20" i="7"/>
  <c r="E31" i="7"/>
  <c r="E50" i="7"/>
  <c r="G23" i="7" s="1"/>
  <c r="G26" i="7" l="1"/>
  <c r="G31" i="7" s="1"/>
  <c r="G33" i="7" s="1"/>
  <c r="G35" i="7" s="1"/>
  <c r="D46" i="6"/>
  <c r="E46" i="6"/>
  <c r="E33" i="7"/>
  <c r="E35" i="7" s="1"/>
  <c r="F45" i="1"/>
  <c r="H45" i="1" s="1"/>
  <c r="D22" i="6"/>
  <c r="H17" i="1"/>
  <c r="F24" i="1"/>
  <c r="H24" i="1" s="1"/>
</calcChain>
</file>

<file path=xl/sharedStrings.xml><?xml version="1.0" encoding="utf-8"?>
<sst xmlns="http://schemas.openxmlformats.org/spreadsheetml/2006/main" count="178" uniqueCount="142">
  <si>
    <t>Concord Agent Fees</t>
  </si>
  <si>
    <t>Misc. Sales/Income</t>
  </si>
  <si>
    <t>Court Fines &amp; Penalties</t>
  </si>
  <si>
    <t>OHRV License Agent Fees</t>
  </si>
  <si>
    <t>License Agent Late Fines/Penalties</t>
  </si>
  <si>
    <t>Interest on Savings Deposits</t>
  </si>
  <si>
    <t>Sale of Surplus Property</t>
  </si>
  <si>
    <t>Sale of Surplus Vehicles</t>
  </si>
  <si>
    <t>Federal Recoveries-Indirect Cost</t>
  </si>
  <si>
    <t>TOTAL UNRESTRICTED</t>
  </si>
  <si>
    <t>COMPARISON CURRENT YEAR BUDGET TO ACTUAL</t>
  </si>
  <si>
    <t>Unrestricted Revenue</t>
  </si>
  <si>
    <t>Budget</t>
  </si>
  <si>
    <t>Month</t>
  </si>
  <si>
    <t>Actual</t>
  </si>
  <si>
    <t>% Collected</t>
  </si>
  <si>
    <t xml:space="preserve">  Y-T-D</t>
  </si>
  <si>
    <t xml:space="preserve">  Actual</t>
  </si>
  <si>
    <r>
      <t xml:space="preserve">     </t>
    </r>
    <r>
      <rPr>
        <b/>
        <u/>
        <sz val="10"/>
        <rFont val="Arial"/>
        <family val="2"/>
      </rPr>
      <t>Y-T-D</t>
    </r>
  </si>
  <si>
    <t>Licenses</t>
  </si>
  <si>
    <t>NH FISH AND GAME DEPARTMENT</t>
  </si>
  <si>
    <t>Variance</t>
  </si>
  <si>
    <t>FISH AND GAME DEPARTMENT</t>
  </si>
  <si>
    <t>FISH AND GAME FUND</t>
  </si>
  <si>
    <t>UNDESIGNATED FUND BALANCE</t>
  </si>
  <si>
    <t>BUDGETARY BASIS</t>
  </si>
  <si>
    <t>ACTUAL (AC)/ REVISED</t>
  </si>
  <si>
    <t>VARIANCE</t>
  </si>
  <si>
    <t xml:space="preserve"> </t>
  </si>
  <si>
    <t>ESTIMATE (RE)</t>
  </si>
  <si>
    <t>POSITIVE/</t>
  </si>
  <si>
    <t>(NEGATIVE)</t>
  </si>
  <si>
    <t>(E)</t>
  </si>
  <si>
    <t>UNRESTRICTED REVENUE</t>
  </si>
  <si>
    <t>(A)</t>
  </si>
  <si>
    <t>MARINE GAS TAX</t>
  </si>
  <si>
    <t>(B)</t>
  </si>
  <si>
    <t xml:space="preserve">     TOTAL ADDITIONS</t>
  </si>
  <si>
    <t>NET APPROPRIATIONS</t>
  </si>
  <si>
    <t>(C)</t>
  </si>
  <si>
    <t>LAPSES</t>
  </si>
  <si>
    <t>(D)</t>
  </si>
  <si>
    <t>SUBTOTAL NET APPROPRIATIONS</t>
  </si>
  <si>
    <t>INVENTORY DECREASE</t>
  </si>
  <si>
    <t xml:space="preserve">     TOTAL DEDUCTIONS</t>
  </si>
  <si>
    <t>EXCESS/(DEFICIENCY)</t>
  </si>
  <si>
    <t xml:space="preserve">      INCLUDES OPERATING BUDGET</t>
  </si>
  <si>
    <t xml:space="preserve">      PLUS OTHER APPROPRIATIONS</t>
  </si>
  <si>
    <t>NEW HAMPSHIRE FISH AND GAME DEPARTMENT</t>
  </si>
  <si>
    <t xml:space="preserve">UNRESTRICTED LICENSE REVENUE </t>
  </si>
  <si>
    <t>PROJECTED</t>
  </si>
  <si>
    <t xml:space="preserve">ACTUAL </t>
  </si>
  <si>
    <t>CALENDAR MONTH</t>
  </si>
  <si>
    <t>REVENUE</t>
  </si>
  <si>
    <t>TOTALS:</t>
  </si>
  <si>
    <t xml:space="preserve">FISCAL </t>
  </si>
  <si>
    <t>FISCAL</t>
  </si>
  <si>
    <t>COMPARISON</t>
  </si>
  <si>
    <t>YEAR TO</t>
  </si>
  <si>
    <t>YEAR</t>
  </si>
  <si>
    <t>DATE</t>
  </si>
  <si>
    <t>POS/(NEG)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</si>
  <si>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</si>
  <si>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</si>
  <si>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</si>
  <si>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</si>
  <si>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</si>
  <si>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</si>
  <si>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</si>
  <si>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</si>
  <si>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</si>
  <si>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</si>
  <si>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</si>
  <si>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</si>
  <si>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TOTAL:</t>
  </si>
  <si>
    <t xml:space="preserve">                       LICENSE REVENUE PRIOR YEAR VERSUS CURRENT YEAR</t>
  </si>
  <si>
    <t>APPROVED BUDGET</t>
  </si>
  <si>
    <t>TRANSFER OUT</t>
  </si>
  <si>
    <t>Y-T-D</t>
  </si>
  <si>
    <t>% Change</t>
  </si>
  <si>
    <t>Misc Sales/Income</t>
  </si>
  <si>
    <t>Interest On Savings Deposits</t>
  </si>
  <si>
    <t>Sales of Surplus Property</t>
  </si>
  <si>
    <t>Game Management Transfers</t>
  </si>
  <si>
    <t>OHRV UNREFUNDED ROAD TOLL</t>
  </si>
  <si>
    <t>(F)</t>
  </si>
  <si>
    <t xml:space="preserve">(E)  PROJECTED LAPSES 3% </t>
  </si>
  <si>
    <t>Notes to Undesignated Fund Balance</t>
  </si>
  <si>
    <t>*Unrestricted license revenue includes licenses and agent fees.</t>
  </si>
  <si>
    <t>Footnote D:</t>
  </si>
  <si>
    <t xml:space="preserve">(F) UNAUDITED BALANCE </t>
  </si>
  <si>
    <t>ENDING BALANCE 06/30/21</t>
  </si>
  <si>
    <t>FY 2022</t>
  </si>
  <si>
    <t>BEGINNING BALANCE 07/01/21</t>
  </si>
  <si>
    <r>
      <t xml:space="preserve">(CHAPTER LAW </t>
    </r>
    <r>
      <rPr>
        <b/>
        <u val="singleAccounting"/>
        <sz val="10"/>
        <rFont val="Arial"/>
        <family val="2"/>
      </rPr>
      <t>90</t>
    </r>
    <r>
      <rPr>
        <sz val="10"/>
        <rFont val="Arial"/>
        <family val="2"/>
      </rPr>
      <t>, LAWS OF 2021)</t>
    </r>
  </si>
  <si>
    <t>(A) LEGISLATIVE ESTIMATE PER CHAPTER LAW 90, LAWS OF 2021  = $13,334,500.00</t>
  </si>
  <si>
    <t>Details on page 2</t>
  </si>
  <si>
    <t>FY 2023</t>
  </si>
  <si>
    <r>
      <t xml:space="preserve">(B) TRANSFER AS ESTIMATED FOR FY 2023.  </t>
    </r>
    <r>
      <rPr>
        <i/>
        <sz val="10"/>
        <rFont val="Arial"/>
        <family val="2"/>
      </rPr>
      <t>Actual transfer completed 07/18/2022.</t>
    </r>
  </si>
  <si>
    <t>(D) NET APPROPRIATIONS AS APPROVED THROUGH BUDGET PROCESS FOR FY 2023</t>
  </si>
  <si>
    <t>FISCAL YEAR 2023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</si>
  <si>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</si>
  <si>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</si>
  <si>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</si>
  <si>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</si>
  <si>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</si>
  <si>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</si>
  <si>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</si>
  <si>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</si>
  <si>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</si>
  <si>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</si>
  <si>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</si>
  <si>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</si>
  <si>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BUDGETARY FIGURES SHOWN AS PRESENTED IN APPROVED FY 23 BUDGET</t>
  </si>
  <si>
    <r>
      <t xml:space="preserve">(C) TRANSFER AS ESTIMATED FOR FY 2023.  </t>
    </r>
    <r>
      <rPr>
        <i/>
        <sz val="10"/>
        <rFont val="Arial"/>
        <family val="2"/>
      </rPr>
      <t>Actual transfer completed 08/01/2022.</t>
    </r>
  </si>
  <si>
    <t>Additional funding added through the Bureau of Accounting for the 1.16%</t>
  </si>
  <si>
    <t>Actual impact to the Fish and Game Fund is greater than this amount.</t>
  </si>
  <si>
    <t xml:space="preserve">    raise for employees effective 07/01/2021 and the additional 1.16% </t>
  </si>
  <si>
    <t xml:space="preserve">    effective 07/01/2022.</t>
  </si>
  <si>
    <t xml:space="preserve">   Funding for AU 21320000 class 048, Contractual Maintenance, to cover the cost</t>
  </si>
  <si>
    <t xml:space="preserve">    of contracting the drilling of three new wells and a new pump system at our </t>
  </si>
  <si>
    <t xml:space="preserve">    Berlin Hatchery as well as any other unforeseen hatchery repairs.</t>
  </si>
  <si>
    <t>Approved by Fiscal Committee 11/18/2022, FIS 22-389 and G&amp;C 11/22/2022, Item #79</t>
  </si>
  <si>
    <t>Approved by Fiscal Committee 11/18/2022, FIS 22-373, and G&amp;C 11/22/2022, Item #78</t>
  </si>
  <si>
    <t xml:space="preserve">   Funding for AU 78870000 class 018, Overtime, to add funding for expenses </t>
  </si>
  <si>
    <t xml:space="preserve">   through the remainder of the fiscal year.</t>
  </si>
  <si>
    <t>Approved by Fiscal Committee 01/27/2023, FIS 23-014, and G&amp;C 02/08/2023, Item #82</t>
  </si>
  <si>
    <t xml:space="preserve">   cost of utilities and class 103, Contracts for Operational Services for the addition</t>
  </si>
  <si>
    <t xml:space="preserve">   of funds to our contract for water testing and analysis.</t>
  </si>
  <si>
    <t xml:space="preserve">   Funding for AU 78870000 class 103, Contracts for Operational Services, for contract </t>
  </si>
  <si>
    <t xml:space="preserve">   increased cost of utilities.</t>
  </si>
  <si>
    <t xml:space="preserve">   in the cost of fish food, class 023, Heat, Electricity and Water, for the increased</t>
  </si>
  <si>
    <t xml:space="preserve">   development cost for requirement of the Interstate Wildlife Violators Compact.</t>
  </si>
  <si>
    <t xml:space="preserve">   Funding for AU 21320000, Hatcheries.  Class 020, current expenses, for an increase </t>
  </si>
  <si>
    <t xml:space="preserve">   Funding for AU 21600000, Facilities, class 023, Heat, Electricity and Water for the</t>
  </si>
  <si>
    <t>Financial Statement - Period Ending May 31, 2023</t>
  </si>
  <si>
    <t>Approved by Fiscal Committee 04/21/2023, FIS 23-141, and G&amp;C 05/03/2023, Item #72</t>
  </si>
  <si>
    <t xml:space="preserve">   Funding for AU 21320000, Hatcheries, class 023, Heat, Electricity and Water for the</t>
  </si>
  <si>
    <t xml:space="preserve">   increased cost of utilities.  AU 21190000, Fleet Management, class 020 for the </t>
  </si>
  <si>
    <t xml:space="preserve">   class 070 for the increase in the cost of fuel for state vehicles.</t>
  </si>
  <si>
    <t xml:space="preserve">   increase in cost of outsourcing vehicle repairs and the cost of supplies,</t>
  </si>
  <si>
    <t>FY 2023 -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</si>
</sst>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1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u val="singleAccounting"/>
      <sz val="10"/>
      <name val="Arial"/>
      <family val="2"/>
    </font>
    <font>
      <i/>
      <sz val="10"/>
      <name val="Arial"/>
      <family val="2"/>
    </font>
    <font>
      <b/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6" fontId="0" fillId="0" borderId="0" xfId="0" applyNumberFormat="1"/>
    <xf numFmtId="38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6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0" fontId="0" fillId="0" borderId="0" xfId="0" applyNumberFormat="1"/>
    <xf numFmtId="38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Continuous"/>
    </xf>
    <xf numFmtId="43" fontId="3" fillId="0" borderId="0" xfId="1" applyFont="1" applyBorder="1" applyAlignment="1">
      <alignment horizontal="centerContinuous"/>
    </xf>
    <xf numFmtId="0" fontId="0" fillId="0" borderId="0" xfId="0" quotePrefix="1"/>
    <xf numFmtId="43" fontId="1" fillId="0" borderId="0" xfId="1" applyFont="1"/>
    <xf numFmtId="43" fontId="1" fillId="0" borderId="0" xfId="1"/>
    <xf numFmtId="43" fontId="1" fillId="0" borderId="0" xfId="1" applyFont="1" applyAlignment="1">
      <alignment horizontal="center"/>
    </xf>
    <xf numFmtId="43" fontId="1" fillId="0" borderId="0" xfId="1" applyBorder="1"/>
    <xf numFmtId="0" fontId="0" fillId="0" borderId="0" xfId="0" applyBorder="1"/>
    <xf numFmtId="43" fontId="1" fillId="0" borderId="0" xfId="1" applyFont="1" applyBorder="1"/>
    <xf numFmtId="0" fontId="0" fillId="0" borderId="0" xfId="0" applyAlignment="1"/>
    <xf numFmtId="0" fontId="8" fillId="0" borderId="0" xfId="0" applyFont="1"/>
    <xf numFmtId="8" fontId="1" fillId="0" borderId="0" xfId="1" applyNumberFormat="1"/>
    <xf numFmtId="39" fontId="1" fillId="0" borderId="1" xfId="2" applyNumberFormat="1" applyBorder="1"/>
    <xf numFmtId="43" fontId="1" fillId="0" borderId="1" xfId="1" applyBorder="1"/>
    <xf numFmtId="0" fontId="0" fillId="0" borderId="1" xfId="0" applyBorder="1"/>
    <xf numFmtId="8" fontId="1" fillId="0" borderId="2" xfId="2" applyNumberFormat="1" applyBorder="1"/>
    <xf numFmtId="43" fontId="9" fillId="0" borderId="0" xfId="1" applyFont="1"/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10" fontId="0" fillId="0" borderId="0" xfId="0" applyNumberFormat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9" fontId="1" fillId="0" borderId="0" xfId="1" applyNumberFormat="1"/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right"/>
    </xf>
    <xf numFmtId="38" fontId="0" fillId="0" borderId="1" xfId="0" applyNumberFormat="1" applyBorder="1"/>
    <xf numFmtId="39" fontId="1" fillId="0" borderId="0" xfId="1" applyNumberFormat="1" applyBorder="1"/>
    <xf numFmtId="6" fontId="3" fillId="0" borderId="0" xfId="0" applyNumberFormat="1" applyFont="1" applyAlignment="1">
      <alignment horizontal="right"/>
    </xf>
    <xf numFmtId="8" fontId="1" fillId="0" borderId="0" xfId="2" applyNumberFormat="1" applyAlignment="1">
      <alignment horizontal="right"/>
    </xf>
    <xf numFmtId="40" fontId="1" fillId="0" borderId="1" xfId="1" applyNumberFormat="1" applyFont="1" applyBorder="1" applyAlignment="1">
      <alignment horizontal="right"/>
    </xf>
    <xf numFmtId="38" fontId="7" fillId="0" borderId="0" xfId="0" applyNumberFormat="1" applyFont="1"/>
    <xf numFmtId="6" fontId="7" fillId="0" borderId="0" xfId="0" applyNumberFormat="1" applyFont="1"/>
    <xf numFmtId="39" fontId="10" fillId="0" borderId="0" xfId="1" applyNumberFormat="1" applyFont="1"/>
    <xf numFmtId="39" fontId="10" fillId="0" borderId="0" xfId="1" applyNumberFormat="1" applyFont="1" applyBorder="1"/>
    <xf numFmtId="39" fontId="0" fillId="0" borderId="1" xfId="0" applyNumberFormat="1" applyBorder="1"/>
    <xf numFmtId="43" fontId="7" fillId="0" borderId="0" xfId="1" applyFont="1" applyBorder="1"/>
    <xf numFmtId="43" fontId="7" fillId="0" borderId="0" xfId="1" applyFont="1"/>
    <xf numFmtId="39" fontId="7" fillId="0" borderId="0" xfId="1" applyNumberFormat="1" applyFont="1"/>
    <xf numFmtId="43" fontId="1" fillId="0" borderId="0" xfId="1" applyNumberFormat="1" applyBorder="1"/>
    <xf numFmtId="39" fontId="1" fillId="0" borderId="0" xfId="1" applyNumberFormat="1" applyFont="1" applyBorder="1"/>
    <xf numFmtId="0" fontId="0" fillId="0" borderId="0" xfId="0" applyAlignment="1">
      <alignment horizontal="left"/>
    </xf>
    <xf numFmtId="43" fontId="11" fillId="0" borderId="1" xfId="1" applyFont="1" applyBorder="1"/>
    <xf numFmtId="10" fontId="7" fillId="0" borderId="0" xfId="0" applyNumberFormat="1" applyFont="1"/>
    <xf numFmtId="6" fontId="0" fillId="0" borderId="0" xfId="0" applyNumberFormat="1" applyAlignment="1">
      <alignment horizontal="right"/>
    </xf>
    <xf numFmtId="6" fontId="7" fillId="0" borderId="0" xfId="0" applyNumberFormat="1" applyFont="1" applyAlignment="1">
      <alignment horizontal="right"/>
    </xf>
    <xf numFmtId="6" fontId="10" fillId="0" borderId="0" xfId="0" applyNumberFormat="1" applyFont="1" applyAlignment="1">
      <alignment horizontal="right"/>
    </xf>
    <xf numFmtId="6" fontId="10" fillId="0" borderId="0" xfId="0" applyNumberFormat="1" applyFont="1"/>
    <xf numFmtId="10" fontId="1" fillId="0" borderId="0" xfId="0" applyNumberFormat="1" applyFont="1" applyAlignment="1">
      <alignment horizontal="right"/>
    </xf>
    <xf numFmtId="38" fontId="7" fillId="0" borderId="1" xfId="0" applyNumberFormat="1" applyFont="1" applyBorder="1"/>
    <xf numFmtId="6" fontId="0" fillId="0" borderId="0" xfId="0" applyNumberFormat="1" applyBorder="1"/>
    <xf numFmtId="8" fontId="0" fillId="0" borderId="0" xfId="0" applyNumberFormat="1" applyBorder="1"/>
    <xf numFmtId="0" fontId="1" fillId="0" borderId="0" xfId="0" applyFont="1"/>
    <xf numFmtId="10" fontId="12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8" fontId="1" fillId="0" borderId="0" xfId="0" applyNumberFormat="1" applyFont="1"/>
    <xf numFmtId="8" fontId="1" fillId="0" borderId="0" xfId="1" applyNumberFormat="1" applyFill="1"/>
    <xf numFmtId="6" fontId="0" fillId="0" borderId="0" xfId="0" applyNumberFormat="1" applyFill="1"/>
    <xf numFmtId="6" fontId="7" fillId="0" borderId="0" xfId="0" applyNumberFormat="1" applyFont="1" applyFill="1"/>
    <xf numFmtId="43" fontId="1" fillId="0" borderId="0" xfId="1" applyFill="1" applyBorder="1"/>
    <xf numFmtId="43" fontId="12" fillId="0" borderId="0" xfId="1" applyFont="1" applyBorder="1"/>
    <xf numFmtId="38" fontId="0" fillId="0" borderId="0" xfId="0" applyNumberFormat="1" applyBorder="1"/>
    <xf numFmtId="0" fontId="14" fillId="0" borderId="0" xfId="0" applyFont="1"/>
    <xf numFmtId="0" fontId="6" fillId="0" borderId="0" xfId="0" applyFont="1" applyFill="1"/>
    <xf numFmtId="6" fontId="6" fillId="0" borderId="0" xfId="0" applyNumberFormat="1" applyFont="1" applyFill="1"/>
    <xf numFmtId="6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38" fontId="3" fillId="0" borderId="0" xfId="0" applyNumberFormat="1" applyFont="1"/>
    <xf numFmtId="38" fontId="2" fillId="0" borderId="0" xfId="0" applyNumberFormat="1" applyFont="1"/>
    <xf numFmtId="38" fontId="15" fillId="0" borderId="0" xfId="0" applyNumberFormat="1" applyFont="1"/>
    <xf numFmtId="38" fontId="2" fillId="0" borderId="0" xfId="0" applyNumberFormat="1" applyFont="1" applyAlignment="1">
      <alignment horizontal="centerContinuous"/>
    </xf>
    <xf numFmtId="38" fontId="3" fillId="0" borderId="0" xfId="0" applyNumberFormat="1" applyFont="1" applyFill="1"/>
    <xf numFmtId="165" fontId="3" fillId="0" borderId="0" xfId="0" applyNumberFormat="1" applyFont="1"/>
    <xf numFmtId="38" fontId="15" fillId="0" borderId="0" xfId="0" applyNumberFormat="1" applyFont="1" applyFill="1"/>
    <xf numFmtId="6" fontId="1" fillId="0" borderId="0" xfId="0" applyNumberFormat="1" applyFont="1"/>
    <xf numFmtId="38" fontId="0" fillId="0" borderId="0" xfId="0" applyNumberFormat="1" applyFill="1"/>
    <xf numFmtId="43" fontId="16" fillId="0" borderId="0" xfId="1" applyFont="1" applyFill="1"/>
    <xf numFmtId="0" fontId="14" fillId="0" borderId="0" xfId="0" applyFont="1" applyFill="1"/>
    <xf numFmtId="43" fontId="12" fillId="0" borderId="1" xfId="1" applyFont="1" applyBorder="1"/>
    <xf numFmtId="8" fontId="0" fillId="0" borderId="0" xfId="0" applyNumberFormat="1" applyAlignment="1">
      <alignment horizontal="left"/>
    </xf>
    <xf numFmtId="10" fontId="1" fillId="0" borderId="0" xfId="0" applyNumberFormat="1" applyFont="1"/>
    <xf numFmtId="38" fontId="0" fillId="0" borderId="1" xfId="0" applyNumberFormat="1" applyFill="1" applyBorder="1"/>
    <xf numFmtId="40" fontId="1" fillId="2" borderId="1" xfId="1" applyNumberFormat="1" applyFont="1" applyFill="1" applyBorder="1" applyAlignment="1">
      <alignment horizontal="right"/>
    </xf>
    <xf numFmtId="10" fontId="12" fillId="0" borderId="1" xfId="0" applyNumberFormat="1" applyFont="1" applyBorder="1" applyAlignment="1">
      <alignment horizontal="right"/>
    </xf>
    <xf numFmtId="43" fontId="1" fillId="0" borderId="0" xfId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/>
  </sheetViews>
  <sheetFormatPr defaultRowHeight="12.75" x14ac:dyDescent="0.2"/>
  <cols>
    <col min="5" max="5" width="20" customWidth="1"/>
    <col min="6" max="6" width="4.7109375" customWidth="1"/>
    <col min="7" max="7" width="22" customWidth="1"/>
    <col min="8" max="8" width="5.42578125" customWidth="1"/>
    <col min="9" max="9" width="16.7109375" customWidth="1"/>
  </cols>
  <sheetData>
    <row r="1" spans="1:9" x14ac:dyDescent="0.2">
      <c r="A1" s="12" t="s">
        <v>22</v>
      </c>
      <c r="B1" s="12"/>
      <c r="C1" s="12"/>
      <c r="D1" s="12"/>
      <c r="E1" s="11"/>
      <c r="F1" s="11"/>
      <c r="G1" s="11"/>
      <c r="H1" s="11"/>
      <c r="I1" s="11"/>
    </row>
    <row r="2" spans="1:9" x14ac:dyDescent="0.2">
      <c r="A2" s="4"/>
      <c r="B2" s="4"/>
      <c r="C2" s="4"/>
      <c r="D2" s="4"/>
    </row>
    <row r="3" spans="1:9" x14ac:dyDescent="0.2">
      <c r="A3" s="103" t="s">
        <v>135</v>
      </c>
      <c r="B3" s="103"/>
      <c r="C3" s="103"/>
      <c r="D3" s="103"/>
      <c r="E3" s="103"/>
      <c r="F3" s="103"/>
      <c r="G3" s="103"/>
      <c r="H3" s="103"/>
      <c r="I3" s="103"/>
    </row>
    <row r="5" spans="1:9" x14ac:dyDescent="0.2">
      <c r="A5" s="15" t="s">
        <v>23</v>
      </c>
      <c r="B5" s="15"/>
      <c r="C5" s="15"/>
      <c r="D5" s="15"/>
      <c r="E5" s="16"/>
      <c r="F5" s="16"/>
      <c r="G5" s="16"/>
      <c r="H5" s="16"/>
      <c r="I5" s="16"/>
    </row>
    <row r="6" spans="1:9" x14ac:dyDescent="0.2">
      <c r="A6" s="106" t="s">
        <v>24</v>
      </c>
      <c r="B6" s="106"/>
      <c r="C6" s="106"/>
      <c r="D6" s="106"/>
      <c r="E6" s="106"/>
      <c r="F6" s="106"/>
      <c r="G6" s="106"/>
      <c r="H6" s="106"/>
      <c r="I6" s="106"/>
    </row>
    <row r="7" spans="1:9" x14ac:dyDescent="0.2">
      <c r="A7" s="106" t="s">
        <v>25</v>
      </c>
      <c r="B7" s="106"/>
      <c r="C7" s="106"/>
      <c r="D7" s="106"/>
      <c r="E7" s="106"/>
      <c r="F7" s="106"/>
      <c r="G7" s="106"/>
      <c r="H7" s="106"/>
      <c r="I7" s="106"/>
    </row>
    <row r="8" spans="1:9" x14ac:dyDescent="0.2">
      <c r="A8" s="106" t="s">
        <v>97</v>
      </c>
      <c r="B8" s="106"/>
      <c r="C8" s="106"/>
      <c r="D8" s="106"/>
      <c r="E8" s="106"/>
      <c r="F8" s="106"/>
      <c r="G8" s="106"/>
      <c r="H8" s="106"/>
      <c r="I8" s="106"/>
    </row>
    <row r="9" spans="1:9" x14ac:dyDescent="0.2">
      <c r="A9" s="17"/>
      <c r="E9" s="18"/>
      <c r="F9" s="19"/>
      <c r="G9" s="19"/>
      <c r="H9" s="19"/>
      <c r="I9" s="19"/>
    </row>
    <row r="10" spans="1:9" x14ac:dyDescent="0.2">
      <c r="A10" s="17"/>
      <c r="E10" s="18"/>
      <c r="F10" s="19"/>
      <c r="G10" s="18" t="s">
        <v>26</v>
      </c>
      <c r="H10" s="19"/>
      <c r="I10" s="20"/>
    </row>
    <row r="11" spans="1:9" x14ac:dyDescent="0.2">
      <c r="A11" s="17"/>
      <c r="E11" s="20" t="s">
        <v>76</v>
      </c>
      <c r="F11" s="18" t="s">
        <v>28</v>
      </c>
      <c r="G11" s="20" t="s">
        <v>29</v>
      </c>
      <c r="H11" s="19"/>
      <c r="I11" s="20"/>
    </row>
    <row r="12" spans="1:9" x14ac:dyDescent="0.2">
      <c r="E12" s="20" t="s">
        <v>97</v>
      </c>
      <c r="F12" s="19"/>
      <c r="G12" s="20" t="s">
        <v>97</v>
      </c>
      <c r="H12" s="19"/>
      <c r="I12" s="20"/>
    </row>
    <row r="13" spans="1:9" x14ac:dyDescent="0.2">
      <c r="E13" s="20"/>
      <c r="F13" s="19"/>
      <c r="G13" s="19"/>
      <c r="H13" s="19"/>
      <c r="I13" s="19"/>
    </row>
    <row r="14" spans="1:9" x14ac:dyDescent="0.2">
      <c r="A14" s="68" t="s">
        <v>93</v>
      </c>
      <c r="E14" s="21">
        <v>11569435.98</v>
      </c>
      <c r="F14" s="18" t="s">
        <v>85</v>
      </c>
      <c r="G14" s="19">
        <v>11569435.98</v>
      </c>
      <c r="H14" s="18" t="s">
        <v>85</v>
      </c>
      <c r="I14" s="49"/>
    </row>
    <row r="15" spans="1:9" x14ac:dyDescent="0.2">
      <c r="E15" s="19"/>
      <c r="F15" s="19"/>
      <c r="G15" s="19"/>
      <c r="H15" s="19"/>
      <c r="I15" s="39"/>
    </row>
    <row r="16" spans="1:9" x14ac:dyDescent="0.2">
      <c r="A16" s="22" t="s">
        <v>33</v>
      </c>
      <c r="B16" s="22"/>
      <c r="C16" s="22"/>
      <c r="D16" s="22"/>
      <c r="E16" s="23">
        <v>11634500</v>
      </c>
      <c r="F16" s="23" t="s">
        <v>34</v>
      </c>
      <c r="G16" s="77">
        <v>11634500</v>
      </c>
      <c r="H16" s="23" t="s">
        <v>34</v>
      </c>
      <c r="I16" s="39"/>
    </row>
    <row r="17" spans="1:9" x14ac:dyDescent="0.2">
      <c r="A17" t="s">
        <v>35</v>
      </c>
      <c r="E17" s="21">
        <v>900000</v>
      </c>
      <c r="F17" s="18" t="s">
        <v>36</v>
      </c>
      <c r="G17" s="19">
        <v>1110547.67</v>
      </c>
      <c r="H17" s="18" t="s">
        <v>36</v>
      </c>
      <c r="I17" s="49"/>
    </row>
    <row r="18" spans="1:9" x14ac:dyDescent="0.2">
      <c r="A18" t="s">
        <v>84</v>
      </c>
      <c r="E18" s="43">
        <v>800000</v>
      </c>
      <c r="F18" s="18" t="s">
        <v>39</v>
      </c>
      <c r="G18" s="19">
        <v>1018641.36</v>
      </c>
      <c r="H18" s="18" t="s">
        <v>39</v>
      </c>
      <c r="I18" s="49"/>
    </row>
    <row r="19" spans="1:9" x14ac:dyDescent="0.2">
      <c r="E19" s="19"/>
      <c r="F19" s="19"/>
      <c r="H19" s="19"/>
      <c r="I19" s="19"/>
    </row>
    <row r="20" spans="1:9" x14ac:dyDescent="0.2">
      <c r="A20" s="24" t="s">
        <v>37</v>
      </c>
      <c r="E20" s="19">
        <f>SUM(E16:E19)</f>
        <v>13334500</v>
      </c>
      <c r="F20" s="18" t="s">
        <v>28</v>
      </c>
      <c r="G20" s="19">
        <f>SUM(G16:G19)</f>
        <v>13763689.029999999</v>
      </c>
      <c r="H20" s="18" t="s">
        <v>28</v>
      </c>
      <c r="I20" s="50"/>
    </row>
    <row r="21" spans="1:9" x14ac:dyDescent="0.2">
      <c r="E21" s="19"/>
      <c r="F21" s="25"/>
      <c r="G21" s="19"/>
      <c r="H21" s="25"/>
      <c r="I21" s="43"/>
    </row>
    <row r="22" spans="1:9" x14ac:dyDescent="0.2">
      <c r="E22" s="19"/>
      <c r="F22" s="19"/>
      <c r="G22" s="19"/>
      <c r="H22" s="19"/>
      <c r="I22" s="26"/>
    </row>
    <row r="23" spans="1:9" x14ac:dyDescent="0.2">
      <c r="A23" t="s">
        <v>38</v>
      </c>
      <c r="E23" s="26">
        <v>15662371</v>
      </c>
      <c r="F23" s="18" t="s">
        <v>41</v>
      </c>
      <c r="G23" s="74">
        <f>E50</f>
        <v>16561672</v>
      </c>
      <c r="H23" s="19" t="s">
        <v>41</v>
      </c>
      <c r="I23" s="54"/>
    </row>
    <row r="24" spans="1:9" x14ac:dyDescent="0.2">
      <c r="A24" t="s">
        <v>40</v>
      </c>
      <c r="E24" s="46">
        <f>-E23*3%</f>
        <v>-469871.13</v>
      </c>
      <c r="F24" s="23" t="s">
        <v>32</v>
      </c>
      <c r="G24" s="58"/>
      <c r="H24" s="23"/>
      <c r="I24" s="55"/>
    </row>
    <row r="25" spans="1:9" x14ac:dyDescent="0.2">
      <c r="D25" s="25"/>
      <c r="E25" s="19"/>
      <c r="F25" s="21"/>
      <c r="G25" s="19"/>
      <c r="H25" s="18"/>
      <c r="I25" s="19"/>
    </row>
    <row r="26" spans="1:9" x14ac:dyDescent="0.2">
      <c r="A26" t="s">
        <v>42</v>
      </c>
      <c r="E26" s="26">
        <f>E23+E24</f>
        <v>15192499.869999999</v>
      </c>
      <c r="F26" s="18" t="s">
        <v>28</v>
      </c>
      <c r="G26" s="19">
        <f>G23+G24</f>
        <v>16561672</v>
      </c>
      <c r="H26" s="18" t="s">
        <v>28</v>
      </c>
      <c r="I26" s="53"/>
    </row>
    <row r="27" spans="1:9" x14ac:dyDescent="0.2">
      <c r="E27" s="19"/>
      <c r="F27" s="18"/>
      <c r="G27" s="19"/>
      <c r="H27" s="18"/>
      <c r="I27" s="19"/>
    </row>
    <row r="28" spans="1:9" x14ac:dyDescent="0.2">
      <c r="A28" t="s">
        <v>77</v>
      </c>
      <c r="E28" s="39">
        <v>0</v>
      </c>
      <c r="F28" s="19"/>
      <c r="G28" s="39">
        <v>0</v>
      </c>
      <c r="H28" s="19"/>
      <c r="I28" s="39"/>
    </row>
    <row r="29" spans="1:9" x14ac:dyDescent="0.2">
      <c r="A29" t="s">
        <v>43</v>
      </c>
      <c r="C29" s="25"/>
      <c r="E29" s="27">
        <v>0</v>
      </c>
      <c r="F29" s="19"/>
      <c r="G29" s="51">
        <v>0</v>
      </c>
      <c r="H29" s="19"/>
      <c r="I29" s="56"/>
    </row>
    <row r="30" spans="1:9" x14ac:dyDescent="0.2">
      <c r="E30" s="19"/>
      <c r="F30" s="19"/>
      <c r="G30" s="19"/>
      <c r="H30" s="19"/>
      <c r="I30" s="19"/>
    </row>
    <row r="31" spans="1:9" x14ac:dyDescent="0.2">
      <c r="A31" s="22" t="s">
        <v>44</v>
      </c>
      <c r="B31" s="22"/>
      <c r="C31" s="22"/>
      <c r="D31" s="22"/>
      <c r="E31" s="21">
        <f>SUM(E26:E29)</f>
        <v>15192499.869999999</v>
      </c>
      <c r="F31" s="23" t="s">
        <v>28</v>
      </c>
      <c r="G31" s="21">
        <f>SUM(G26:G29)</f>
        <v>16561672</v>
      </c>
      <c r="H31" s="23" t="s">
        <v>28</v>
      </c>
      <c r="I31" s="52"/>
    </row>
    <row r="32" spans="1:9" x14ac:dyDescent="0.2">
      <c r="E32" s="19"/>
      <c r="F32" s="19"/>
      <c r="G32" s="19"/>
      <c r="H32" s="19"/>
      <c r="I32" s="19"/>
    </row>
    <row r="33" spans="1:9" x14ac:dyDescent="0.2">
      <c r="A33" t="s">
        <v>45</v>
      </c>
      <c r="E33" s="58">
        <f>E20-E31</f>
        <v>-1857999.8699999992</v>
      </c>
      <c r="F33" s="58"/>
      <c r="G33" s="96">
        <f>G20-G31</f>
        <v>-2797982.9700000007</v>
      </c>
      <c r="H33" s="21"/>
      <c r="I33" s="52"/>
    </row>
    <row r="34" spans="1:9" x14ac:dyDescent="0.2">
      <c r="E34" s="19"/>
      <c r="F34" s="19"/>
      <c r="G34" s="19"/>
      <c r="H34" s="21"/>
      <c r="I34" s="21"/>
    </row>
    <row r="35" spans="1:9" x14ac:dyDescent="0.2">
      <c r="A35" s="68" t="s">
        <v>91</v>
      </c>
      <c r="E35" s="19">
        <f>SUM(E14+E33)</f>
        <v>9711436.1100000013</v>
      </c>
      <c r="F35" s="19"/>
      <c r="G35" s="19">
        <f>SUM(G14+G33)</f>
        <v>8771453.0099999998</v>
      </c>
      <c r="H35" s="23"/>
      <c r="I35" s="23"/>
    </row>
    <row r="36" spans="1:9" x14ac:dyDescent="0.2">
      <c r="A36" s="68"/>
      <c r="E36" s="19"/>
      <c r="F36" s="19"/>
      <c r="G36" s="78"/>
      <c r="H36" s="23"/>
      <c r="I36" s="23"/>
    </row>
    <row r="37" spans="1:9" x14ac:dyDescent="0.2">
      <c r="E37" s="19"/>
      <c r="F37" s="19"/>
      <c r="G37" s="21"/>
      <c r="H37" s="21"/>
      <c r="I37" s="21"/>
    </row>
    <row r="38" spans="1:9" x14ac:dyDescent="0.2">
      <c r="A38" s="29"/>
      <c r="B38" s="29"/>
      <c r="C38" s="29"/>
      <c r="D38" s="29"/>
      <c r="E38" s="28"/>
      <c r="F38" s="28"/>
      <c r="G38" s="28"/>
      <c r="H38" s="21"/>
      <c r="I38" s="21"/>
    </row>
    <row r="39" spans="1:9" x14ac:dyDescent="0.2">
      <c r="A39" s="10" t="s">
        <v>113</v>
      </c>
      <c r="B39" s="22"/>
      <c r="C39" s="22"/>
      <c r="D39" s="22"/>
      <c r="E39" s="21"/>
      <c r="F39" s="21"/>
      <c r="G39" s="21"/>
      <c r="H39" s="21"/>
      <c r="I39" s="21"/>
    </row>
    <row r="40" spans="1:9" x14ac:dyDescent="0.2">
      <c r="A40" s="22"/>
      <c r="B40" s="22"/>
      <c r="C40" s="22"/>
      <c r="D40" s="22"/>
      <c r="E40" s="21"/>
      <c r="F40" s="21"/>
      <c r="G40" s="21"/>
      <c r="H40" s="21"/>
      <c r="I40" s="21"/>
    </row>
    <row r="41" spans="1:9" x14ac:dyDescent="0.2">
      <c r="A41" s="104" t="s">
        <v>95</v>
      </c>
      <c r="B41" s="105"/>
      <c r="C41" s="105"/>
      <c r="D41" s="105"/>
      <c r="E41" s="105"/>
      <c r="F41" s="105"/>
      <c r="G41" s="105"/>
      <c r="H41" s="105"/>
      <c r="I41" s="105"/>
    </row>
    <row r="42" spans="1:9" x14ac:dyDescent="0.2">
      <c r="A42" s="71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104" t="s">
        <v>98</v>
      </c>
      <c r="B43" s="105"/>
      <c r="C43" s="105"/>
      <c r="D43" s="105"/>
      <c r="E43" s="105"/>
      <c r="F43" s="105"/>
      <c r="G43" s="105"/>
      <c r="H43" s="105"/>
      <c r="I43" s="105"/>
    </row>
    <row r="44" spans="1:9" x14ac:dyDescent="0.2">
      <c r="A44" s="57"/>
      <c r="B44" s="57"/>
      <c r="C44" s="57"/>
      <c r="D44" s="57"/>
      <c r="E44" s="57"/>
      <c r="F44" s="57"/>
      <c r="G44" s="57"/>
      <c r="H44" s="57"/>
      <c r="I44" s="57"/>
    </row>
    <row r="45" spans="1:9" x14ac:dyDescent="0.2">
      <c r="A45" s="68" t="s">
        <v>114</v>
      </c>
      <c r="C45" s="57"/>
      <c r="D45" s="57"/>
      <c r="E45" s="57"/>
      <c r="F45" s="57"/>
      <c r="G45" s="57"/>
      <c r="H45" s="57"/>
      <c r="I45" s="97"/>
    </row>
    <row r="46" spans="1:9" x14ac:dyDescent="0.2">
      <c r="E46" s="19"/>
      <c r="F46" s="19"/>
      <c r="G46" s="19"/>
      <c r="H46" s="19"/>
      <c r="I46" s="26"/>
    </row>
    <row r="47" spans="1:9" x14ac:dyDescent="0.2">
      <c r="A47" s="68" t="s">
        <v>99</v>
      </c>
      <c r="C47" s="25"/>
      <c r="E47" s="19"/>
      <c r="F47" s="19"/>
      <c r="G47" s="19"/>
      <c r="H47" s="19"/>
      <c r="I47" s="19"/>
    </row>
    <row r="48" spans="1:9" ht="15" x14ac:dyDescent="0.35">
      <c r="A48" t="s">
        <v>46</v>
      </c>
      <c r="D48" s="19"/>
      <c r="E48" s="45">
        <v>15662371</v>
      </c>
      <c r="F48" s="102" t="s">
        <v>94</v>
      </c>
      <c r="G48" s="102"/>
      <c r="H48" s="102"/>
      <c r="I48" s="102"/>
    </row>
    <row r="49" spans="1:9" x14ac:dyDescent="0.2">
      <c r="A49" t="s">
        <v>47</v>
      </c>
      <c r="E49" s="100">
        <v>899301</v>
      </c>
      <c r="F49" s="94" t="s">
        <v>96</v>
      </c>
      <c r="G49" s="95"/>
      <c r="H49" s="19"/>
      <c r="I49" s="18"/>
    </row>
    <row r="50" spans="1:9" ht="13.5" thickBot="1" x14ac:dyDescent="0.25">
      <c r="E50" s="30">
        <f>SUM(E48:E49)</f>
        <v>16561672</v>
      </c>
      <c r="F50" s="19"/>
      <c r="G50" s="80"/>
      <c r="H50" s="19"/>
      <c r="I50" s="19"/>
    </row>
    <row r="51" spans="1:9" ht="13.5" thickTop="1" x14ac:dyDescent="0.2">
      <c r="E51" s="19"/>
      <c r="F51" s="19"/>
      <c r="G51" s="19"/>
      <c r="H51" s="19"/>
      <c r="I51" s="19"/>
    </row>
    <row r="52" spans="1:9" x14ac:dyDescent="0.2">
      <c r="A52" s="105" t="s">
        <v>86</v>
      </c>
      <c r="B52" s="105"/>
      <c r="C52" s="105"/>
      <c r="D52" s="105"/>
      <c r="E52" s="105"/>
      <c r="F52" s="19"/>
      <c r="G52" s="19"/>
      <c r="H52" s="19"/>
      <c r="I52" s="19"/>
    </row>
    <row r="53" spans="1:9" x14ac:dyDescent="0.2">
      <c r="E53" s="19"/>
      <c r="F53" s="19"/>
      <c r="G53" s="19"/>
      <c r="H53" s="19"/>
      <c r="I53" s="19"/>
    </row>
    <row r="54" spans="1:9" s="22" customFormat="1" x14ac:dyDescent="0.2">
      <c r="A54" s="22" t="s">
        <v>90</v>
      </c>
      <c r="E54" s="21"/>
      <c r="F54" s="21"/>
      <c r="G54" s="21"/>
      <c r="H54" s="21"/>
      <c r="I54" s="21"/>
    </row>
    <row r="55" spans="1:9" s="22" customFormat="1" x14ac:dyDescent="0.2">
      <c r="E55" s="21"/>
      <c r="F55" s="21"/>
      <c r="G55" s="21"/>
      <c r="H55" s="21"/>
      <c r="I55" s="21"/>
    </row>
    <row r="56" spans="1:9" x14ac:dyDescent="0.2">
      <c r="E56" s="19"/>
      <c r="F56" s="19"/>
      <c r="G56" s="19"/>
      <c r="H56" s="19"/>
      <c r="I56" s="19"/>
    </row>
    <row r="57" spans="1:9" x14ac:dyDescent="0.2">
      <c r="E57" s="19"/>
      <c r="F57" s="19"/>
      <c r="G57" s="31"/>
      <c r="H57" s="19"/>
      <c r="I57" s="19"/>
    </row>
    <row r="58" spans="1:9" x14ac:dyDescent="0.2">
      <c r="E58" s="19"/>
      <c r="F58" s="19"/>
      <c r="G58" s="31"/>
      <c r="H58" s="19"/>
      <c r="I58" s="19"/>
    </row>
    <row r="59" spans="1:9" x14ac:dyDescent="0.2">
      <c r="E59" s="19"/>
      <c r="F59" s="19"/>
      <c r="G59" s="31"/>
      <c r="H59" s="19"/>
      <c r="I59" s="19"/>
    </row>
    <row r="60" spans="1:9" x14ac:dyDescent="0.2">
      <c r="E60" s="19"/>
      <c r="F60" s="19"/>
      <c r="G60" s="31"/>
      <c r="H60" s="19"/>
      <c r="I60" s="19"/>
    </row>
    <row r="61" spans="1:9" x14ac:dyDescent="0.2">
      <c r="E61" s="19"/>
      <c r="F61" s="19"/>
      <c r="G61" s="19"/>
      <c r="H61" s="19"/>
      <c r="I61" s="19"/>
    </row>
    <row r="62" spans="1:9" x14ac:dyDescent="0.2">
      <c r="E62" s="19"/>
      <c r="F62" s="19"/>
      <c r="G62" s="19"/>
      <c r="H62" s="19"/>
      <c r="I62" s="19"/>
    </row>
  </sheetData>
  <mergeCells count="8">
    <mergeCell ref="F48:I48"/>
    <mergeCell ref="A3:I3"/>
    <mergeCell ref="A41:I41"/>
    <mergeCell ref="A52:E52"/>
    <mergeCell ref="A6:I6"/>
    <mergeCell ref="A7:I7"/>
    <mergeCell ref="A8:I8"/>
    <mergeCell ref="A43:I43"/>
  </mergeCells>
  <phoneticPr fontId="0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opLeftCell="A7" zoomScaleNormal="100" workbookViewId="0">
      <selection activeCell="B41" sqref="B41"/>
    </sheetView>
  </sheetViews>
  <sheetFormatPr defaultRowHeight="12.75" x14ac:dyDescent="0.2"/>
  <cols>
    <col min="1" max="1" width="10.7109375" style="85" bestFit="1" customWidth="1"/>
    <col min="2" max="6" width="9.140625" style="3"/>
    <col min="7" max="8" width="9.140625" style="3" customWidth="1"/>
    <col min="9" max="9" width="12.5703125" style="3" customWidth="1"/>
    <col min="10" max="10" width="17" style="3" customWidth="1"/>
    <col min="11" max="16384" width="9.140625" style="3"/>
  </cols>
  <sheetData>
    <row r="2" spans="1:8" x14ac:dyDescent="0.2">
      <c r="A2" s="88" t="s">
        <v>87</v>
      </c>
      <c r="B2" s="12"/>
      <c r="C2" s="12"/>
      <c r="D2" s="12"/>
      <c r="E2" s="12"/>
      <c r="F2" s="12"/>
      <c r="G2" s="12"/>
      <c r="H2" s="12"/>
    </row>
    <row r="7" spans="1:8" x14ac:dyDescent="0.2">
      <c r="A7" s="86" t="s">
        <v>89</v>
      </c>
    </row>
    <row r="9" spans="1:8" x14ac:dyDescent="0.2">
      <c r="A9" s="85">
        <v>232694</v>
      </c>
      <c r="B9" s="90" t="s">
        <v>115</v>
      </c>
    </row>
    <row r="10" spans="1:8" x14ac:dyDescent="0.2">
      <c r="B10" s="90" t="s">
        <v>117</v>
      </c>
    </row>
    <row r="11" spans="1:8" x14ac:dyDescent="0.2">
      <c r="B11" s="90" t="s">
        <v>118</v>
      </c>
    </row>
    <row r="12" spans="1:8" x14ac:dyDescent="0.2">
      <c r="B12" s="90"/>
      <c r="C12" s="80" t="s">
        <v>116</v>
      </c>
    </row>
    <row r="14" spans="1:8" x14ac:dyDescent="0.2">
      <c r="A14" s="85">
        <v>200000</v>
      </c>
      <c r="B14" s="3" t="s">
        <v>122</v>
      </c>
      <c r="C14" s="80"/>
    </row>
    <row r="15" spans="1:8" x14ac:dyDescent="0.2">
      <c r="A15" s="91"/>
      <c r="B15" s="3" t="s">
        <v>119</v>
      </c>
      <c r="C15" s="80"/>
    </row>
    <row r="16" spans="1:8" x14ac:dyDescent="0.2">
      <c r="B16" s="3" t="s">
        <v>120</v>
      </c>
      <c r="C16" s="80"/>
    </row>
    <row r="17" spans="1:3" x14ac:dyDescent="0.2">
      <c r="A17" s="89"/>
      <c r="B17" s="3" t="s">
        <v>121</v>
      </c>
    </row>
    <row r="18" spans="1:3" x14ac:dyDescent="0.2">
      <c r="A18" s="89"/>
    </row>
    <row r="19" spans="1:3" x14ac:dyDescent="0.2">
      <c r="A19" s="89">
        <v>71607</v>
      </c>
      <c r="B19" s="3" t="s">
        <v>123</v>
      </c>
    </row>
    <row r="20" spans="1:3" x14ac:dyDescent="0.2">
      <c r="B20" s="3" t="s">
        <v>124</v>
      </c>
    </row>
    <row r="21" spans="1:3" x14ac:dyDescent="0.2">
      <c r="B21" s="90" t="s">
        <v>125</v>
      </c>
    </row>
    <row r="22" spans="1:3" x14ac:dyDescent="0.2">
      <c r="B22" s="90"/>
    </row>
    <row r="23" spans="1:3" x14ac:dyDescent="0.2">
      <c r="A23" s="85">
        <v>35000</v>
      </c>
      <c r="B23" s="90" t="s">
        <v>126</v>
      </c>
    </row>
    <row r="24" spans="1:3" x14ac:dyDescent="0.2">
      <c r="B24" s="90" t="s">
        <v>129</v>
      </c>
    </row>
    <row r="25" spans="1:3" x14ac:dyDescent="0.2">
      <c r="B25" s="90" t="s">
        <v>132</v>
      </c>
    </row>
    <row r="26" spans="1:3" x14ac:dyDescent="0.2">
      <c r="B26" s="90"/>
    </row>
    <row r="27" spans="1:3" x14ac:dyDescent="0.2">
      <c r="A27" s="85">
        <v>225000</v>
      </c>
      <c r="B27" s="90" t="s">
        <v>126</v>
      </c>
    </row>
    <row r="28" spans="1:3" x14ac:dyDescent="0.2">
      <c r="B28" s="90" t="s">
        <v>133</v>
      </c>
    </row>
    <row r="29" spans="1:3" x14ac:dyDescent="0.2">
      <c r="B29" s="90" t="s">
        <v>131</v>
      </c>
    </row>
    <row r="30" spans="1:3" x14ac:dyDescent="0.2">
      <c r="B30" s="90" t="s">
        <v>127</v>
      </c>
      <c r="C30" s="80"/>
    </row>
    <row r="31" spans="1:3" x14ac:dyDescent="0.2">
      <c r="A31" s="91"/>
      <c r="B31" s="90" t="s">
        <v>128</v>
      </c>
    </row>
    <row r="32" spans="1:3" x14ac:dyDescent="0.2">
      <c r="B32" s="90"/>
    </row>
    <row r="33" spans="1:2" x14ac:dyDescent="0.2">
      <c r="A33" s="85">
        <v>20000</v>
      </c>
      <c r="B33" s="90" t="s">
        <v>126</v>
      </c>
    </row>
    <row r="34" spans="1:2" x14ac:dyDescent="0.2">
      <c r="B34" s="90" t="s">
        <v>134</v>
      </c>
    </row>
    <row r="35" spans="1:2" x14ac:dyDescent="0.2">
      <c r="A35" s="91"/>
      <c r="B35" s="3" t="s">
        <v>130</v>
      </c>
    </row>
    <row r="36" spans="1:2" x14ac:dyDescent="0.2">
      <c r="A36" s="91"/>
    </row>
    <row r="37" spans="1:2" x14ac:dyDescent="0.2">
      <c r="A37" s="91">
        <v>115000</v>
      </c>
      <c r="B37" s="3" t="s">
        <v>136</v>
      </c>
    </row>
    <row r="38" spans="1:2" x14ac:dyDescent="0.2">
      <c r="A38" s="91"/>
      <c r="B38" s="3" t="s">
        <v>137</v>
      </c>
    </row>
    <row r="39" spans="1:2" x14ac:dyDescent="0.2">
      <c r="A39" s="91"/>
      <c r="B39" s="3" t="s">
        <v>138</v>
      </c>
    </row>
    <row r="40" spans="1:2" x14ac:dyDescent="0.2">
      <c r="B40" s="3" t="s">
        <v>140</v>
      </c>
    </row>
    <row r="41" spans="1:2" x14ac:dyDescent="0.2">
      <c r="A41" s="87"/>
      <c r="B41" s="3" t="s">
        <v>139</v>
      </c>
    </row>
    <row r="42" spans="1:2" x14ac:dyDescent="0.2">
      <c r="A42" s="87">
        <f>SUM(A9:A38)</f>
        <v>899301</v>
      </c>
    </row>
    <row r="47" spans="1:2" x14ac:dyDescent="0.2">
      <c r="A47" s="86"/>
    </row>
    <row r="48" spans="1:2" x14ac:dyDescent="0.2">
      <c r="A48" s="89"/>
    </row>
    <row r="49" spans="1:1" x14ac:dyDescent="0.2">
      <c r="A49" s="87"/>
    </row>
  </sheetData>
  <pageMargins left="0.7" right="0.7" top="0.75" bottom="0.75" header="0.3" footer="0.3"/>
  <pageSetup scale="92" orientation="portrait" r:id="rId1"/>
  <headerFooter>
    <oddFooter>&amp;RFinancial Statement - May 31,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1"/>
  <sheetViews>
    <sheetView zoomScaleNormal="100" workbookViewId="0"/>
  </sheetViews>
  <sheetFormatPr defaultRowHeight="12.75" x14ac:dyDescent="0.2"/>
  <cols>
    <col min="1" max="1" width="31.140625" bestFit="1" customWidth="1"/>
    <col min="2" max="2" width="16.28515625" bestFit="1" customWidth="1"/>
    <col min="3" max="3" width="4.28515625" customWidth="1"/>
    <col min="4" max="4" width="13.5703125" customWidth="1"/>
    <col min="5" max="5" width="4.140625" customWidth="1"/>
    <col min="6" max="6" width="12.28515625" bestFit="1" customWidth="1"/>
    <col min="7" max="7" width="3.28515625" customWidth="1"/>
    <col min="8" max="8" width="11.5703125" bestFit="1" customWidth="1"/>
    <col min="9" max="9" width="4" customWidth="1"/>
    <col min="10" max="10" width="11.7109375" bestFit="1" customWidth="1"/>
    <col min="11" max="11" width="13.42578125" bestFit="1" customWidth="1"/>
  </cols>
  <sheetData>
    <row r="4" spans="1:11" ht="18" x14ac:dyDescent="0.25">
      <c r="A4" s="109" t="s">
        <v>20</v>
      </c>
      <c r="B4" s="109"/>
      <c r="C4" s="109"/>
      <c r="D4" s="109"/>
      <c r="E4" s="109"/>
      <c r="F4" s="109"/>
      <c r="G4" s="109"/>
      <c r="H4" s="109"/>
    </row>
    <row r="6" spans="1:11" ht="15.75" x14ac:dyDescent="0.25">
      <c r="A6" s="108" t="s">
        <v>141</v>
      </c>
      <c r="B6" s="108"/>
      <c r="C6" s="108"/>
      <c r="D6" s="108"/>
      <c r="E6" s="108"/>
      <c r="F6" s="108"/>
      <c r="G6" s="108"/>
      <c r="H6" s="108"/>
    </row>
    <row r="7" spans="1:11" ht="15.75" x14ac:dyDescent="0.25">
      <c r="A7" s="108" t="s">
        <v>10</v>
      </c>
      <c r="B7" s="108"/>
      <c r="C7" s="108"/>
      <c r="D7" s="108"/>
      <c r="E7" s="108"/>
      <c r="F7" s="108"/>
      <c r="G7" s="108"/>
      <c r="H7" s="108"/>
    </row>
    <row r="8" spans="1:11" ht="15" x14ac:dyDescent="0.25">
      <c r="A8" s="6"/>
      <c r="B8" s="6"/>
      <c r="C8" s="6"/>
      <c r="D8" s="6"/>
      <c r="E8" s="6"/>
      <c r="F8" s="6"/>
      <c r="G8" s="6"/>
      <c r="H8" s="6"/>
    </row>
    <row r="9" spans="1:11" ht="15" x14ac:dyDescent="0.25">
      <c r="A9" s="6"/>
      <c r="B9" s="6"/>
      <c r="C9" s="6"/>
      <c r="D9" s="6"/>
      <c r="E9" s="6"/>
      <c r="F9" s="6"/>
      <c r="G9" s="6"/>
      <c r="H9" s="6"/>
    </row>
    <row r="10" spans="1:11" x14ac:dyDescent="0.2">
      <c r="D10" s="4" t="s">
        <v>13</v>
      </c>
      <c r="E10" s="4"/>
      <c r="F10" s="3" t="s">
        <v>16</v>
      </c>
      <c r="G10" s="3"/>
      <c r="H10" s="4" t="s">
        <v>15</v>
      </c>
      <c r="I10" s="3"/>
    </row>
    <row r="11" spans="1:11" x14ac:dyDescent="0.2">
      <c r="A11" s="5" t="s">
        <v>11</v>
      </c>
      <c r="B11" s="8" t="s">
        <v>12</v>
      </c>
      <c r="C11" s="4"/>
      <c r="D11" s="8" t="s">
        <v>14</v>
      </c>
      <c r="E11" s="4"/>
      <c r="F11" s="9" t="s">
        <v>17</v>
      </c>
      <c r="G11" s="10"/>
      <c r="H11" s="107" t="s">
        <v>18</v>
      </c>
      <c r="I11" s="107"/>
    </row>
    <row r="13" spans="1:11" x14ac:dyDescent="0.2">
      <c r="A13" t="s">
        <v>19</v>
      </c>
      <c r="B13" s="1">
        <v>9800000</v>
      </c>
      <c r="C13" s="1"/>
      <c r="D13" s="75">
        <v>2376339.5299999998</v>
      </c>
      <c r="E13" s="75"/>
      <c r="F13" s="75">
        <f>D13+6399338</f>
        <v>8775677.5299999993</v>
      </c>
      <c r="G13" s="1"/>
      <c r="H13" s="35">
        <f>F13/B13</f>
        <v>0.89547729897959172</v>
      </c>
      <c r="J13" s="75"/>
      <c r="K13" s="67"/>
    </row>
    <row r="14" spans="1:11" x14ac:dyDescent="0.2">
      <c r="A14" t="s">
        <v>0</v>
      </c>
      <c r="B14" s="2">
        <v>7000</v>
      </c>
      <c r="C14" s="14"/>
      <c r="D14" s="2">
        <v>692</v>
      </c>
      <c r="E14" s="2"/>
      <c r="F14" s="93">
        <f>D14+5308</f>
        <v>6000</v>
      </c>
      <c r="G14" s="2"/>
      <c r="H14" s="35">
        <f t="shared" ref="H14:H22" si="0">F14/B14</f>
        <v>0.8571428571428571</v>
      </c>
      <c r="J14" s="2"/>
      <c r="K14" s="67"/>
    </row>
    <row r="15" spans="1:11" x14ac:dyDescent="0.2">
      <c r="A15" t="s">
        <v>1</v>
      </c>
      <c r="B15" s="2">
        <v>400000</v>
      </c>
      <c r="C15" s="14"/>
      <c r="D15" s="2">
        <v>4.59</v>
      </c>
      <c r="E15" s="2"/>
      <c r="F15" s="93">
        <f>D15+155614</f>
        <v>155618.59</v>
      </c>
      <c r="G15" s="2"/>
      <c r="H15" s="64">
        <f t="shared" si="0"/>
        <v>0.389046475</v>
      </c>
      <c r="J15" s="2"/>
      <c r="K15" s="67"/>
    </row>
    <row r="16" spans="1:11" x14ac:dyDescent="0.2">
      <c r="A16" t="s">
        <v>2</v>
      </c>
      <c r="B16" s="93">
        <v>120000</v>
      </c>
      <c r="C16" s="14"/>
      <c r="D16" s="2">
        <v>14272.34</v>
      </c>
      <c r="E16" s="2"/>
      <c r="F16" s="93">
        <f>D16+135178</f>
        <v>149450.34</v>
      </c>
      <c r="G16" s="2"/>
      <c r="H16" s="35">
        <f t="shared" si="0"/>
        <v>1.2454194999999999</v>
      </c>
      <c r="J16" s="2"/>
      <c r="K16" s="67"/>
    </row>
    <row r="17" spans="1:11" x14ac:dyDescent="0.2">
      <c r="A17" t="s">
        <v>3</v>
      </c>
      <c r="B17" s="2">
        <v>15000</v>
      </c>
      <c r="C17" s="14"/>
      <c r="D17" s="2">
        <v>3805</v>
      </c>
      <c r="E17" s="2"/>
      <c r="F17" s="93">
        <f>D17+13096</f>
        <v>16901</v>
      </c>
      <c r="G17" s="2"/>
      <c r="H17" s="35">
        <f t="shared" si="0"/>
        <v>1.1267333333333334</v>
      </c>
      <c r="J17" s="2"/>
      <c r="K17" s="67"/>
    </row>
    <row r="18" spans="1:11" x14ac:dyDescent="0.2">
      <c r="A18" t="s">
        <v>4</v>
      </c>
      <c r="B18" s="2">
        <v>7500</v>
      </c>
      <c r="C18" s="14"/>
      <c r="D18" s="2">
        <v>20</v>
      </c>
      <c r="E18" s="2"/>
      <c r="F18" s="93">
        <f>D18+7188</f>
        <v>7208</v>
      </c>
      <c r="G18" s="2"/>
      <c r="H18" s="35">
        <f t="shared" si="0"/>
        <v>0.96106666666666662</v>
      </c>
      <c r="J18" s="2"/>
      <c r="K18" s="67"/>
    </row>
    <row r="19" spans="1:11" x14ac:dyDescent="0.2">
      <c r="A19" t="s">
        <v>5</v>
      </c>
      <c r="B19" s="2">
        <v>25000</v>
      </c>
      <c r="C19" s="14"/>
      <c r="D19" s="2">
        <v>53201.07</v>
      </c>
      <c r="E19" s="2"/>
      <c r="F19" s="93">
        <f>D19+303914</f>
        <v>357115.07</v>
      </c>
      <c r="G19" s="2"/>
      <c r="H19" s="64">
        <f t="shared" si="0"/>
        <v>14.2846028</v>
      </c>
      <c r="J19" s="2"/>
      <c r="K19" s="67"/>
    </row>
    <row r="20" spans="1:11" x14ac:dyDescent="0.2">
      <c r="A20" t="s">
        <v>6</v>
      </c>
      <c r="B20" s="2">
        <v>20000</v>
      </c>
      <c r="C20" s="14"/>
      <c r="D20" s="2">
        <v>0</v>
      </c>
      <c r="E20" s="2"/>
      <c r="F20" s="93">
        <v>396</v>
      </c>
      <c r="G20" s="2"/>
      <c r="H20" s="35">
        <f t="shared" si="0"/>
        <v>1.9800000000000002E-2</v>
      </c>
      <c r="J20" s="2"/>
      <c r="K20" s="67"/>
    </row>
    <row r="21" spans="1:11" x14ac:dyDescent="0.2">
      <c r="A21" t="s">
        <v>7</v>
      </c>
      <c r="B21" s="2">
        <v>25000</v>
      </c>
      <c r="C21" s="14"/>
      <c r="D21" s="2">
        <v>7920</v>
      </c>
      <c r="E21" s="2"/>
      <c r="F21" s="93">
        <f>D21+15738</f>
        <v>23658</v>
      </c>
      <c r="G21" s="2"/>
      <c r="H21" s="35">
        <f t="shared" si="0"/>
        <v>0.94632000000000005</v>
      </c>
      <c r="J21" s="2"/>
      <c r="K21" s="67"/>
    </row>
    <row r="22" spans="1:11" x14ac:dyDescent="0.2">
      <c r="A22" t="s">
        <v>8</v>
      </c>
      <c r="B22" s="2">
        <v>900000</v>
      </c>
      <c r="C22" s="14"/>
      <c r="D22" s="2">
        <v>94199.95</v>
      </c>
      <c r="E22" s="2"/>
      <c r="F22" s="93">
        <f>D22+837268</f>
        <v>931467.95</v>
      </c>
      <c r="G22" s="2"/>
      <c r="H22" s="35">
        <f t="shared" si="0"/>
        <v>1.0349643888888889</v>
      </c>
      <c r="J22" s="2"/>
      <c r="K22" s="67"/>
    </row>
    <row r="23" spans="1:11" x14ac:dyDescent="0.2">
      <c r="A23" t="s">
        <v>83</v>
      </c>
      <c r="B23" s="42">
        <v>315000</v>
      </c>
      <c r="C23" s="14"/>
      <c r="D23" s="42">
        <v>9888</v>
      </c>
      <c r="E23" s="2"/>
      <c r="F23" s="99">
        <f>D23+220742</f>
        <v>230630</v>
      </c>
      <c r="G23" s="2"/>
      <c r="H23" s="35">
        <f>F23/B23</f>
        <v>0.73215873015873012</v>
      </c>
      <c r="J23" s="79"/>
      <c r="K23" s="67"/>
    </row>
    <row r="24" spans="1:11" x14ac:dyDescent="0.2">
      <c r="A24" s="3" t="s">
        <v>9</v>
      </c>
      <c r="B24" s="7">
        <f>SUM(B13:B23)</f>
        <v>11634500</v>
      </c>
      <c r="C24" s="7"/>
      <c r="D24" s="7">
        <f>SUM(D13:D23)</f>
        <v>2560342.4799999995</v>
      </c>
      <c r="E24" s="7"/>
      <c r="F24" s="44">
        <f>SUM(F13:F23)</f>
        <v>10654122.479999999</v>
      </c>
      <c r="G24" s="7"/>
      <c r="H24" s="36">
        <f>F24/B24</f>
        <v>0.91573531135845965</v>
      </c>
      <c r="J24" s="44"/>
      <c r="K24" s="66"/>
    </row>
    <row r="25" spans="1:11" x14ac:dyDescent="0.2">
      <c r="A25" s="3"/>
      <c r="B25" s="7"/>
      <c r="C25" s="7"/>
      <c r="D25" s="7"/>
      <c r="E25" s="7"/>
      <c r="F25" s="7"/>
      <c r="G25" s="7"/>
      <c r="H25" s="41"/>
      <c r="J25" s="66"/>
      <c r="K25" s="66"/>
    </row>
    <row r="26" spans="1:11" ht="12.75" customHeight="1" x14ac:dyDescent="0.25">
      <c r="A26" s="81"/>
      <c r="B26" s="82"/>
      <c r="C26" s="82"/>
      <c r="D26" s="82"/>
      <c r="E26" s="82"/>
      <c r="F26" s="82"/>
      <c r="G26" s="82"/>
      <c r="H26" s="83"/>
      <c r="J26" s="66"/>
      <c r="K26" s="22"/>
    </row>
    <row r="27" spans="1:11" ht="12.75" customHeight="1" x14ac:dyDescent="0.25">
      <c r="A27" s="81"/>
      <c r="B27" s="82"/>
      <c r="C27" s="82"/>
      <c r="D27" s="82"/>
      <c r="E27" s="82"/>
      <c r="F27" s="82"/>
      <c r="G27" s="82"/>
      <c r="H27" s="83"/>
      <c r="J27" s="1"/>
    </row>
    <row r="28" spans="1:11" ht="12.75" customHeight="1" x14ac:dyDescent="0.25">
      <c r="A28" s="81"/>
      <c r="B28" s="82"/>
      <c r="C28" s="82"/>
      <c r="D28" s="82"/>
      <c r="E28" s="82"/>
      <c r="F28" s="82"/>
      <c r="G28" s="82"/>
      <c r="H28" s="84"/>
    </row>
    <row r="30" spans="1:11" x14ac:dyDescent="0.2">
      <c r="B30" s="4" t="s">
        <v>92</v>
      </c>
      <c r="D30" s="4" t="s">
        <v>97</v>
      </c>
    </row>
    <row r="31" spans="1:11" x14ac:dyDescent="0.2">
      <c r="B31" s="4" t="s">
        <v>78</v>
      </c>
      <c r="D31" s="4" t="s">
        <v>16</v>
      </c>
      <c r="E31" s="4"/>
      <c r="F31" s="4" t="s">
        <v>78</v>
      </c>
      <c r="G31" s="3"/>
      <c r="H31" s="4"/>
      <c r="I31" s="3"/>
    </row>
    <row r="32" spans="1:11" x14ac:dyDescent="0.2">
      <c r="A32" s="5" t="s">
        <v>11</v>
      </c>
      <c r="B32" s="8" t="s">
        <v>14</v>
      </c>
      <c r="C32" s="4"/>
      <c r="D32" s="8" t="s">
        <v>17</v>
      </c>
      <c r="E32" s="4"/>
      <c r="F32" s="8" t="s">
        <v>21</v>
      </c>
      <c r="G32" s="10"/>
      <c r="H32" s="9" t="s">
        <v>79</v>
      </c>
      <c r="I32" s="38"/>
    </row>
    <row r="33" spans="1:10" x14ac:dyDescent="0.2">
      <c r="A33" s="5"/>
      <c r="B33" s="40"/>
      <c r="C33" s="4"/>
      <c r="D33" s="10"/>
      <c r="E33" s="4"/>
      <c r="G33" s="10"/>
      <c r="I33" s="38"/>
    </row>
    <row r="34" spans="1:10" ht="12.75" customHeight="1" x14ac:dyDescent="0.2">
      <c r="A34" t="s">
        <v>19</v>
      </c>
      <c r="B34" s="75">
        <v>9209594</v>
      </c>
      <c r="C34" s="1"/>
      <c r="D34" s="75">
        <v>8775677.5</v>
      </c>
      <c r="E34" s="1"/>
      <c r="F34" s="48">
        <f>D34-B34</f>
        <v>-433916.5</v>
      </c>
      <c r="G34" s="1"/>
      <c r="H34" s="69">
        <f t="shared" ref="H34:H42" si="1">F34/B34</f>
        <v>-4.7115703471836003E-2</v>
      </c>
      <c r="J34" s="92"/>
    </row>
    <row r="35" spans="1:10" x14ac:dyDescent="0.2">
      <c r="A35" t="s">
        <v>0</v>
      </c>
      <c r="B35" s="2">
        <v>6240</v>
      </c>
      <c r="C35" s="14"/>
      <c r="D35" s="2">
        <v>6000</v>
      </c>
      <c r="E35" s="2"/>
      <c r="F35" s="47">
        <f t="shared" ref="F35:F44" si="2">D35-B35</f>
        <v>-240</v>
      </c>
      <c r="G35" s="2"/>
      <c r="H35" s="69">
        <f t="shared" si="1"/>
        <v>-3.8461538461538464E-2</v>
      </c>
      <c r="J35" s="1"/>
    </row>
    <row r="36" spans="1:10" x14ac:dyDescent="0.2">
      <c r="A36" t="s">
        <v>80</v>
      </c>
      <c r="B36" s="2">
        <v>161527</v>
      </c>
      <c r="C36" s="14"/>
      <c r="D36" s="93">
        <v>155618.5</v>
      </c>
      <c r="E36" s="2"/>
      <c r="F36" s="47">
        <f t="shared" si="2"/>
        <v>-5908.5</v>
      </c>
      <c r="G36" s="2"/>
      <c r="H36" s="69">
        <f t="shared" si="1"/>
        <v>-3.6579023940270045E-2</v>
      </c>
      <c r="J36" s="1"/>
    </row>
    <row r="37" spans="1:10" x14ac:dyDescent="0.2">
      <c r="A37" t="s">
        <v>2</v>
      </c>
      <c r="B37" s="2">
        <v>134492</v>
      </c>
      <c r="C37" s="14"/>
      <c r="D37" s="93">
        <v>149450</v>
      </c>
      <c r="E37" s="2"/>
      <c r="F37" s="47">
        <f t="shared" si="2"/>
        <v>14958</v>
      </c>
      <c r="G37" s="2"/>
      <c r="H37" s="64">
        <f>F37/B37</f>
        <v>0.11121851113820896</v>
      </c>
    </row>
    <row r="38" spans="1:10" x14ac:dyDescent="0.2">
      <c r="A38" t="s">
        <v>3</v>
      </c>
      <c r="B38" s="2">
        <v>17324</v>
      </c>
      <c r="C38" s="14"/>
      <c r="D38" s="93">
        <v>16901</v>
      </c>
      <c r="E38" s="2"/>
      <c r="F38" s="47">
        <f t="shared" si="2"/>
        <v>-423</v>
      </c>
      <c r="G38" s="2"/>
      <c r="H38" s="69">
        <f t="shared" si="1"/>
        <v>-2.4416993765873932E-2</v>
      </c>
    </row>
    <row r="39" spans="1:10" x14ac:dyDescent="0.2">
      <c r="A39" t="s">
        <v>4</v>
      </c>
      <c r="B39" s="2">
        <v>16527</v>
      </c>
      <c r="C39" s="14"/>
      <c r="D39" s="93">
        <v>7208</v>
      </c>
      <c r="E39" s="2"/>
      <c r="F39" s="47">
        <f t="shared" si="2"/>
        <v>-9319</v>
      </c>
      <c r="G39" s="2"/>
      <c r="H39" s="69">
        <f>F39/B39</f>
        <v>-0.56386519029466931</v>
      </c>
    </row>
    <row r="40" spans="1:10" x14ac:dyDescent="0.2">
      <c r="A40" t="s">
        <v>81</v>
      </c>
      <c r="B40" s="2">
        <v>2096</v>
      </c>
      <c r="C40" s="14"/>
      <c r="D40" s="2">
        <v>357115</v>
      </c>
      <c r="E40" s="2"/>
      <c r="F40" s="47">
        <f t="shared" si="2"/>
        <v>355019</v>
      </c>
      <c r="G40" s="2"/>
      <c r="H40" s="64">
        <f t="shared" si="1"/>
        <v>169.37929389312978</v>
      </c>
    </row>
    <row r="41" spans="1:10" x14ac:dyDescent="0.2">
      <c r="A41" t="s">
        <v>82</v>
      </c>
      <c r="B41" s="2">
        <v>30642</v>
      </c>
      <c r="C41" s="14"/>
      <c r="D41" s="2">
        <v>396</v>
      </c>
      <c r="E41" s="2"/>
      <c r="F41" s="47">
        <f t="shared" si="2"/>
        <v>-30246</v>
      </c>
      <c r="G41" s="2"/>
      <c r="H41" s="69">
        <f t="shared" si="1"/>
        <v>-0.98707656158214219</v>
      </c>
    </row>
    <row r="42" spans="1:10" x14ac:dyDescent="0.2">
      <c r="A42" t="s">
        <v>7</v>
      </c>
      <c r="B42" s="2">
        <v>12144</v>
      </c>
      <c r="C42" s="14"/>
      <c r="D42" s="2">
        <v>23658</v>
      </c>
      <c r="E42" s="2"/>
      <c r="F42" s="47">
        <f t="shared" si="2"/>
        <v>11514</v>
      </c>
      <c r="G42" s="47"/>
      <c r="H42" s="64">
        <f t="shared" si="1"/>
        <v>0.9481225296442688</v>
      </c>
    </row>
    <row r="43" spans="1:10" x14ac:dyDescent="0.2">
      <c r="A43" t="s">
        <v>8</v>
      </c>
      <c r="B43" s="2">
        <v>791892</v>
      </c>
      <c r="C43" s="14"/>
      <c r="D43" s="2">
        <v>931468</v>
      </c>
      <c r="E43" s="2"/>
      <c r="F43" s="73">
        <f t="shared" si="2"/>
        <v>139576</v>
      </c>
      <c r="G43" s="2"/>
      <c r="H43" s="64">
        <f>F43/B43</f>
        <v>0.17625635819025826</v>
      </c>
    </row>
    <row r="44" spans="1:10" x14ac:dyDescent="0.2">
      <c r="A44" t="s">
        <v>83</v>
      </c>
      <c r="B44" s="42">
        <v>240358</v>
      </c>
      <c r="C44" s="14"/>
      <c r="D44" s="42">
        <v>230630</v>
      </c>
      <c r="E44" s="2"/>
      <c r="F44" s="65">
        <f t="shared" si="2"/>
        <v>-9728</v>
      </c>
      <c r="G44" s="2"/>
      <c r="H44" s="101">
        <f>F44/B44</f>
        <v>-4.0472961166260327E-2</v>
      </c>
    </row>
    <row r="45" spans="1:10" x14ac:dyDescent="0.2">
      <c r="A45" s="3" t="s">
        <v>9</v>
      </c>
      <c r="B45" s="7">
        <f>SUM(B34:B44)</f>
        <v>10622836</v>
      </c>
      <c r="C45" s="7"/>
      <c r="D45" s="7">
        <f>SUM(D34:D44)</f>
        <v>10654122</v>
      </c>
      <c r="E45" s="7"/>
      <c r="F45" s="7">
        <f>D45-B45</f>
        <v>31286</v>
      </c>
      <c r="G45" s="7"/>
      <c r="H45" s="64">
        <f>F45/B45</f>
        <v>2.9451645492785542E-3</v>
      </c>
    </row>
    <row r="47" spans="1:10" x14ac:dyDescent="0.2">
      <c r="D47" s="1"/>
    </row>
    <row r="49" spans="4:6" x14ac:dyDescent="0.2">
      <c r="F49" s="1"/>
    </row>
    <row r="50" spans="4:6" x14ac:dyDescent="0.2">
      <c r="D50" t="s">
        <v>28</v>
      </c>
    </row>
    <row r="51" spans="4:6" x14ac:dyDescent="0.2">
      <c r="D51" t="s">
        <v>28</v>
      </c>
    </row>
  </sheetData>
  <mergeCells count="4">
    <mergeCell ref="H11:I11"/>
    <mergeCell ref="A6:H6"/>
    <mergeCell ref="A7:H7"/>
    <mergeCell ref="A4:H4"/>
  </mergeCells>
  <phoneticPr fontId="0" type="noConversion"/>
  <printOptions horizontalCentered="1"/>
  <pageMargins left="0.75" right="0.75" top="1" bottom="1" header="0.5" footer="0.5"/>
  <pageSetup scale="82" orientation="portrait" r:id="rId1"/>
  <headerFooter alignWithMargins="0">
    <oddHeader>&amp;RPage 3</oddHeader>
    <oddFooter>&amp;RFinancial Statement - May 31,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sqref="A1:F1"/>
    </sheetView>
  </sheetViews>
  <sheetFormatPr defaultRowHeight="12.75" x14ac:dyDescent="0.2"/>
  <cols>
    <col min="1" max="1" width="18.5703125" bestFit="1" customWidth="1"/>
    <col min="2" max="2" width="12.28515625" bestFit="1" customWidth="1"/>
    <col min="3" max="3" width="13.42578125" bestFit="1" customWidth="1"/>
    <col min="4" max="4" width="14" bestFit="1" customWidth="1"/>
    <col min="5" max="5" width="11.7109375" bestFit="1" customWidth="1"/>
    <col min="7" max="7" width="9.7109375" bestFit="1" customWidth="1"/>
  </cols>
  <sheetData>
    <row r="1" spans="1:6" x14ac:dyDescent="0.2">
      <c r="A1" s="110" t="s">
        <v>48</v>
      </c>
      <c r="B1" s="110"/>
      <c r="C1" s="110"/>
      <c r="D1" s="110"/>
      <c r="E1" s="110"/>
      <c r="F1" s="110"/>
    </row>
    <row r="2" spans="1:6" x14ac:dyDescent="0.2">
      <c r="A2" s="110" t="s">
        <v>100</v>
      </c>
      <c r="B2" s="110"/>
      <c r="C2" s="110"/>
      <c r="D2" s="110"/>
      <c r="E2" s="110"/>
      <c r="F2" s="110"/>
    </row>
    <row r="3" spans="1:6" x14ac:dyDescent="0.2">
      <c r="A3" s="110" t="s">
        <v>49</v>
      </c>
      <c r="B3" s="110"/>
      <c r="C3" s="110"/>
      <c r="D3" s="110"/>
      <c r="E3" s="110"/>
      <c r="F3" s="110"/>
    </row>
    <row r="4" spans="1:6" x14ac:dyDescent="0.2">
      <c r="A4" s="4"/>
      <c r="B4" s="4"/>
      <c r="C4" s="4"/>
      <c r="D4" s="4"/>
      <c r="E4" s="4"/>
      <c r="F4" s="4"/>
    </row>
    <row r="6" spans="1:6" x14ac:dyDescent="0.2">
      <c r="B6" s="37" t="s">
        <v>50</v>
      </c>
      <c r="C6" s="37" t="s">
        <v>51</v>
      </c>
      <c r="D6" s="37" t="s">
        <v>27</v>
      </c>
    </row>
    <row r="7" spans="1:6" x14ac:dyDescent="0.2">
      <c r="A7" s="3" t="s">
        <v>52</v>
      </c>
      <c r="B7" s="37" t="s">
        <v>53</v>
      </c>
      <c r="C7" s="37" t="s">
        <v>53</v>
      </c>
      <c r="D7" s="3"/>
    </row>
    <row r="8" spans="1:6" x14ac:dyDescent="0.2">
      <c r="E8" s="13"/>
    </row>
    <row r="9" spans="1:6" x14ac:dyDescent="0.2">
      <c r="A9" s="70" t="s">
        <v>101</v>
      </c>
      <c r="B9" s="48">
        <v>949000</v>
      </c>
      <c r="C9" s="48">
        <f>819433+346</f>
        <v>819779</v>
      </c>
      <c r="D9" s="48">
        <f t="shared" ref="D9:D19" si="0">C9-B9</f>
        <v>-129221</v>
      </c>
      <c r="E9" s="13"/>
    </row>
    <row r="10" spans="1:6" x14ac:dyDescent="0.2">
      <c r="A10" s="70" t="s">
        <v>102</v>
      </c>
      <c r="B10" s="48">
        <v>828500</v>
      </c>
      <c r="C10" s="48">
        <f>1062803.42+501</f>
        <v>1063304.42</v>
      </c>
      <c r="D10" s="48">
        <f t="shared" si="0"/>
        <v>234804.41999999993</v>
      </c>
      <c r="E10" s="13"/>
    </row>
    <row r="11" spans="1:6" x14ac:dyDescent="0.2">
      <c r="A11" s="70" t="s">
        <v>103</v>
      </c>
      <c r="B11" s="48">
        <v>664200</v>
      </c>
      <c r="C11" s="48">
        <f>784320.68+736</f>
        <v>785056.68</v>
      </c>
      <c r="D11" s="48">
        <f t="shared" si="0"/>
        <v>120856.68000000005</v>
      </c>
      <c r="E11" s="13"/>
    </row>
    <row r="12" spans="1:6" x14ac:dyDescent="0.2">
      <c r="A12" s="70" t="s">
        <v>104</v>
      </c>
      <c r="B12" s="48">
        <v>610950</v>
      </c>
      <c r="C12" s="48">
        <f>311619.43+623</f>
        <v>312242.43</v>
      </c>
      <c r="D12" s="48">
        <f t="shared" si="0"/>
        <v>-298707.57</v>
      </c>
      <c r="E12" s="13"/>
    </row>
    <row r="13" spans="1:6" x14ac:dyDescent="0.2">
      <c r="A13" s="70" t="s">
        <v>105</v>
      </c>
      <c r="B13" s="48">
        <v>491300</v>
      </c>
      <c r="C13" s="48">
        <f>891345.69+303</f>
        <v>891648.69</v>
      </c>
      <c r="D13" s="48">
        <f t="shared" si="0"/>
        <v>400348.68999999994</v>
      </c>
      <c r="E13" s="13"/>
    </row>
    <row r="14" spans="1:6" x14ac:dyDescent="0.2">
      <c r="A14" s="70" t="s">
        <v>106</v>
      </c>
      <c r="B14" s="48">
        <v>463100</v>
      </c>
      <c r="C14" s="48">
        <f>438246.31+421</f>
        <v>438667.31</v>
      </c>
      <c r="D14" s="48">
        <f t="shared" si="0"/>
        <v>-24432.690000000002</v>
      </c>
      <c r="E14" s="13"/>
    </row>
    <row r="15" spans="1:6" x14ac:dyDescent="0.2">
      <c r="A15" s="70" t="s">
        <v>107</v>
      </c>
      <c r="B15" s="48">
        <v>436000</v>
      </c>
      <c r="C15" s="48">
        <f>890601.8+733</f>
        <v>891334.8</v>
      </c>
      <c r="D15" s="48">
        <f t="shared" si="0"/>
        <v>455334.80000000005</v>
      </c>
      <c r="E15" s="13"/>
    </row>
    <row r="16" spans="1:6" x14ac:dyDescent="0.2">
      <c r="A16" s="70" t="s">
        <v>108</v>
      </c>
      <c r="B16" s="48">
        <v>934700</v>
      </c>
      <c r="C16" s="48">
        <f>730320+395</f>
        <v>730715</v>
      </c>
      <c r="D16" s="48">
        <f t="shared" si="0"/>
        <v>-203985</v>
      </c>
      <c r="E16" s="13"/>
    </row>
    <row r="17" spans="1:7" x14ac:dyDescent="0.2">
      <c r="A17" s="70" t="s">
        <v>109</v>
      </c>
      <c r="B17" s="48">
        <v>500100</v>
      </c>
      <c r="C17" s="48">
        <f>243735.75+362</f>
        <v>244097.75</v>
      </c>
      <c r="D17" s="48">
        <f t="shared" si="0"/>
        <v>-256002.25</v>
      </c>
      <c r="E17" s="13"/>
    </row>
    <row r="18" spans="1:7" x14ac:dyDescent="0.2">
      <c r="A18" s="70" t="s">
        <v>110</v>
      </c>
      <c r="B18" s="48">
        <v>503700</v>
      </c>
      <c r="C18" s="48">
        <f>226911.49+888</f>
        <v>227799.49</v>
      </c>
      <c r="D18" s="48">
        <f t="shared" si="0"/>
        <v>-275900.51</v>
      </c>
      <c r="E18" s="13"/>
    </row>
    <row r="19" spans="1:7" x14ac:dyDescent="0.2">
      <c r="A19" s="70" t="s">
        <v>111</v>
      </c>
      <c r="B19" s="48">
        <v>1870850</v>
      </c>
      <c r="C19" s="48">
        <f>2376339.53+692</f>
        <v>2377031.5299999998</v>
      </c>
      <c r="D19" s="48">
        <f t="shared" si="0"/>
        <v>506181.5299999998</v>
      </c>
      <c r="E19" s="13"/>
    </row>
    <row r="20" spans="1:7" x14ac:dyDescent="0.2">
      <c r="A20" s="70" t="s">
        <v>112</v>
      </c>
      <c r="B20" s="48">
        <v>1554600</v>
      </c>
      <c r="C20" s="76"/>
      <c r="D20" s="48"/>
      <c r="E20" s="13"/>
    </row>
    <row r="21" spans="1:7" x14ac:dyDescent="0.2">
      <c r="B21" s="48"/>
      <c r="C21" s="48"/>
      <c r="D21" s="48"/>
    </row>
    <row r="22" spans="1:7" x14ac:dyDescent="0.2">
      <c r="A22" t="s">
        <v>54</v>
      </c>
      <c r="B22" s="48">
        <f>SUM(B9:B21)</f>
        <v>9807000</v>
      </c>
      <c r="C22" s="48">
        <f>SUM(C9:C21)</f>
        <v>8781677.0999999996</v>
      </c>
      <c r="D22" s="48">
        <f>SUM(D9:D21)</f>
        <v>529277.09999999974</v>
      </c>
      <c r="E22" s="98">
        <f>D22/SUM(B9:B19)</f>
        <v>6.4136142213174319E-2</v>
      </c>
      <c r="G22" s="1"/>
    </row>
    <row r="24" spans="1:7" x14ac:dyDescent="0.2">
      <c r="A24" s="3" t="s">
        <v>88</v>
      </c>
      <c r="B24" s="3"/>
      <c r="C24" s="3"/>
      <c r="D24" s="3"/>
      <c r="E24" s="3"/>
      <c r="F24" s="3"/>
    </row>
    <row r="26" spans="1:7" x14ac:dyDescent="0.2">
      <c r="A26" s="107" t="s">
        <v>75</v>
      </c>
      <c r="B26" s="107"/>
      <c r="C26" s="107"/>
      <c r="D26" s="107"/>
      <c r="E26" s="107"/>
      <c r="F26" s="107"/>
    </row>
    <row r="27" spans="1:7" x14ac:dyDescent="0.2">
      <c r="A27" s="4"/>
      <c r="B27" s="4"/>
      <c r="C27" s="4"/>
      <c r="D27" s="4"/>
      <c r="E27" s="4"/>
      <c r="F27" s="4"/>
    </row>
    <row r="28" spans="1:7" x14ac:dyDescent="0.2">
      <c r="A28" s="12"/>
      <c r="B28" s="32"/>
      <c r="C28" s="32"/>
      <c r="D28" s="32"/>
      <c r="E28" s="32" t="s">
        <v>55</v>
      </c>
    </row>
    <row r="29" spans="1:7" x14ac:dyDescent="0.2">
      <c r="B29" s="32" t="s">
        <v>56</v>
      </c>
      <c r="C29" s="32" t="s">
        <v>56</v>
      </c>
      <c r="D29" s="32" t="s">
        <v>57</v>
      </c>
      <c r="E29" s="32" t="s">
        <v>58</v>
      </c>
      <c r="F29" s="32"/>
    </row>
    <row r="30" spans="1:7" x14ac:dyDescent="0.2">
      <c r="B30" s="32" t="s">
        <v>59</v>
      </c>
      <c r="C30" s="32" t="s">
        <v>59</v>
      </c>
      <c r="D30" s="32" t="s">
        <v>30</v>
      </c>
      <c r="E30" s="32" t="s">
        <v>60</v>
      </c>
      <c r="F30" s="32"/>
    </row>
    <row r="31" spans="1:7" x14ac:dyDescent="0.2">
      <c r="B31" s="32">
        <v>2022</v>
      </c>
      <c r="C31" s="32">
        <v>2023</v>
      </c>
      <c r="D31" s="32" t="s">
        <v>31</v>
      </c>
      <c r="E31" s="32" t="s">
        <v>61</v>
      </c>
      <c r="F31" s="32"/>
    </row>
    <row r="32" spans="1:7" x14ac:dyDescent="0.2">
      <c r="B32" s="32"/>
      <c r="C32" s="32"/>
      <c r="D32" s="32"/>
      <c r="E32" s="32"/>
      <c r="F32" s="32"/>
    </row>
    <row r="33" spans="1:6" x14ac:dyDescent="0.2">
      <c r="A33" t="s">
        <v>62</v>
      </c>
      <c r="B33" s="1">
        <f>1162600.42+531</f>
        <v>1163131.42</v>
      </c>
      <c r="C33" s="1">
        <f>819433+346</f>
        <v>819779</v>
      </c>
      <c r="D33" s="61">
        <f t="shared" ref="D33:D38" si="1">C33-B33</f>
        <v>-343352.41999999993</v>
      </c>
      <c r="E33" s="61">
        <f t="shared" ref="E33" si="2">D33</f>
        <v>-343352.41999999993</v>
      </c>
    </row>
    <row r="34" spans="1:6" x14ac:dyDescent="0.2">
      <c r="A34" t="s">
        <v>63</v>
      </c>
      <c r="B34" s="1">
        <f>611845.62+610</f>
        <v>612455.62</v>
      </c>
      <c r="C34" s="1">
        <f>1062803.42+501</f>
        <v>1063304.42</v>
      </c>
      <c r="D34" s="61">
        <f t="shared" si="1"/>
        <v>450848.79999999993</v>
      </c>
      <c r="E34" s="61">
        <f t="shared" ref="E34:E39" si="3">E33+D34</f>
        <v>107496.38</v>
      </c>
    </row>
    <row r="35" spans="1:6" x14ac:dyDescent="0.2">
      <c r="A35" t="s">
        <v>64</v>
      </c>
      <c r="B35" s="1">
        <f>659652.79+743</f>
        <v>660395.79</v>
      </c>
      <c r="C35" s="1">
        <f>784320.68+736</f>
        <v>785056.68</v>
      </c>
      <c r="D35" s="61">
        <f t="shared" si="1"/>
        <v>124660.89000000001</v>
      </c>
      <c r="E35" s="61">
        <f t="shared" si="3"/>
        <v>232157.27000000002</v>
      </c>
    </row>
    <row r="36" spans="1:6" x14ac:dyDescent="0.2">
      <c r="A36" t="s">
        <v>65</v>
      </c>
      <c r="B36" s="1">
        <f>596938.37+582</f>
        <v>597520.37</v>
      </c>
      <c r="C36" s="1">
        <f>311619.43+623</f>
        <v>312242.43</v>
      </c>
      <c r="D36" s="61">
        <f t="shared" si="1"/>
        <v>-285277.94</v>
      </c>
      <c r="E36" s="61">
        <f t="shared" si="3"/>
        <v>-53120.669999999984</v>
      </c>
    </row>
    <row r="37" spans="1:6" x14ac:dyDescent="0.2">
      <c r="A37" t="s">
        <v>66</v>
      </c>
      <c r="B37" s="1">
        <f>591626.64+375</f>
        <v>592001.64</v>
      </c>
      <c r="C37" s="1">
        <f>891345.69+303</f>
        <v>891648.69</v>
      </c>
      <c r="D37" s="61">
        <f t="shared" si="1"/>
        <v>299647.04999999993</v>
      </c>
      <c r="E37" s="61">
        <f t="shared" si="3"/>
        <v>246526.37999999995</v>
      </c>
    </row>
    <row r="38" spans="1:6" x14ac:dyDescent="0.2">
      <c r="A38" t="s">
        <v>67</v>
      </c>
      <c r="B38" s="1">
        <f>450844.6+410</f>
        <v>451254.6</v>
      </c>
      <c r="C38" s="1">
        <f>438246.31+421</f>
        <v>438667.31</v>
      </c>
      <c r="D38" s="61">
        <f t="shared" si="1"/>
        <v>-12587.289999999979</v>
      </c>
      <c r="E38" s="61">
        <f t="shared" si="3"/>
        <v>233939.08999999997</v>
      </c>
    </row>
    <row r="39" spans="1:6" x14ac:dyDescent="0.2">
      <c r="A39" t="s">
        <v>68</v>
      </c>
      <c r="B39" s="1">
        <f>1187927.96+838.75</f>
        <v>1188766.71</v>
      </c>
      <c r="C39" s="1">
        <f>890601.8+733</f>
        <v>891334.8</v>
      </c>
      <c r="D39" s="61">
        <f t="shared" ref="D39" si="4">C39-B39</f>
        <v>-297431.90999999992</v>
      </c>
      <c r="E39" s="61">
        <f t="shared" si="3"/>
        <v>-63492.819999999949</v>
      </c>
    </row>
    <row r="40" spans="1:6" x14ac:dyDescent="0.2">
      <c r="A40" t="s">
        <v>69</v>
      </c>
      <c r="B40" s="1">
        <f>1090461.12+378</f>
        <v>1090839.1200000001</v>
      </c>
      <c r="C40" s="1">
        <f>730320+395</f>
        <v>730715</v>
      </c>
      <c r="D40" s="61">
        <f t="shared" ref="D40" si="5">C40-B40</f>
        <v>-360124.12000000011</v>
      </c>
      <c r="E40" s="61">
        <f t="shared" ref="E40" si="6">E39+D40</f>
        <v>-423616.94000000006</v>
      </c>
    </row>
    <row r="41" spans="1:6" x14ac:dyDescent="0.2">
      <c r="A41" t="s">
        <v>70</v>
      </c>
      <c r="B41" s="1">
        <f>352790.64+396</f>
        <v>353186.64</v>
      </c>
      <c r="C41" s="1">
        <f>243735.75+362</f>
        <v>244097.75</v>
      </c>
      <c r="D41" s="61">
        <f t="shared" ref="D41" si="7">C41-B41</f>
        <v>-109088.89000000001</v>
      </c>
      <c r="E41" s="61">
        <f t="shared" ref="E41" si="8">E40+D41</f>
        <v>-532705.83000000007</v>
      </c>
    </row>
    <row r="42" spans="1:6" x14ac:dyDescent="0.2">
      <c r="A42" t="s">
        <v>71</v>
      </c>
      <c r="B42" s="1">
        <f>815381.32+804</f>
        <v>816185.32</v>
      </c>
      <c r="C42" s="1">
        <f>226911.49+888</f>
        <v>227799.49</v>
      </c>
      <c r="D42" s="61">
        <f t="shared" ref="D42" si="9">C42-B42</f>
        <v>-588385.82999999996</v>
      </c>
      <c r="E42" s="61">
        <f t="shared" ref="E42" si="10">E41+D42</f>
        <v>-1121091.6600000001</v>
      </c>
    </row>
    <row r="43" spans="1:6" x14ac:dyDescent="0.2">
      <c r="A43" t="s">
        <v>72</v>
      </c>
      <c r="B43" s="1">
        <f>1689525.45+572</f>
        <v>1690097.45</v>
      </c>
      <c r="C43" s="1">
        <f>2376339.53+692</f>
        <v>2377031.5299999998</v>
      </c>
      <c r="D43" s="61">
        <f t="shared" ref="D43" si="11">C43-B43</f>
        <v>686934.07999999984</v>
      </c>
      <c r="E43" s="61">
        <f t="shared" ref="E43" si="12">E42+D43</f>
        <v>-434157.58000000031</v>
      </c>
    </row>
    <row r="44" spans="1:6" x14ac:dyDescent="0.2">
      <c r="A44" t="s">
        <v>73</v>
      </c>
      <c r="B44" s="1">
        <f>1454537.25+316</f>
        <v>1454853.25</v>
      </c>
      <c r="C44" s="1"/>
      <c r="D44" s="61"/>
      <c r="E44" s="61"/>
    </row>
    <row r="45" spans="1:6" x14ac:dyDescent="0.2">
      <c r="B45" s="1"/>
      <c r="C45" s="1"/>
      <c r="D45" s="1"/>
      <c r="E45" s="1"/>
    </row>
    <row r="46" spans="1:6" x14ac:dyDescent="0.2">
      <c r="A46" t="s">
        <v>74</v>
      </c>
      <c r="B46" s="60">
        <f>SUM(B33:B45)</f>
        <v>10670687.93</v>
      </c>
      <c r="C46" s="60">
        <f>SUM(C33:C45)</f>
        <v>8781677.0999999996</v>
      </c>
      <c r="D46" s="62">
        <f>SUM(D33:D44)</f>
        <v>-434157.58000000031</v>
      </c>
      <c r="E46" s="63">
        <f>SUM(D33:D44)</f>
        <v>-434157.58000000031</v>
      </c>
      <c r="F46" s="33" t="s">
        <v>28</v>
      </c>
    </row>
    <row r="47" spans="1:6" x14ac:dyDescent="0.2">
      <c r="B47" s="34"/>
      <c r="C47" s="1"/>
      <c r="D47" s="1"/>
      <c r="E47" s="1"/>
    </row>
    <row r="48" spans="1:6" x14ac:dyDescent="0.2">
      <c r="E48" s="59"/>
    </row>
  </sheetData>
  <mergeCells count="4">
    <mergeCell ref="A1:F1"/>
    <mergeCell ref="A2:F2"/>
    <mergeCell ref="A3:F3"/>
    <mergeCell ref="A26:F26"/>
  </mergeCells>
  <phoneticPr fontId="0" type="noConversion"/>
  <pageMargins left="1.74" right="0.75" top="1" bottom="1" header="0.5" footer="0.5"/>
  <pageSetup scale="98" orientation="portrait" r:id="rId1"/>
  <headerFooter alignWithMargins="0">
    <oddHeader>&amp;RPage 4</oddHeader>
    <oddFooter xml:space="preserve">&amp;RFinancial Statement - May 31,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</vt:lpstr>
      <vt:lpstr>Sheet1</vt:lpstr>
      <vt:lpstr>budgettoactual</vt:lpstr>
      <vt:lpstr>Comparison YTD</vt:lpstr>
    </vt:vector>
  </TitlesOfParts>
  <Company>NH FISH AND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LaBonte, Kathy</dc:creator>
  <cp:lastModifiedBy>Sampson, Matthew</cp:lastModifiedBy>
  <cp:lastPrinted>2023-06-05T17:16:35Z</cp:lastPrinted>
  <dcterms:created xsi:type="dcterms:W3CDTF">2003-08-19T18:12:29Z</dcterms:created>
  <dcterms:modified xsi:type="dcterms:W3CDTF">2023-06-14T15:30:20Z</dcterms:modified>
  <cp:contentStatus/>
</cp:coreProperties>
</file>